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cengageo365-my.sharepoint.com/personal/tara_blair_cengage_com/Documents/Documents/"/>
    </mc:Choice>
  </mc:AlternateContent>
  <xr:revisionPtr revIDLastSave="0" documentId="8_{DF66ECF2-B55D-4BCA-A871-3F8B3972198D}" xr6:coauthVersionLast="46" xr6:coauthVersionMax="46" xr10:uidLastSave="{00000000-0000-0000-0000-000000000000}"/>
  <bookViews>
    <workbookView xWindow="-110" yWindow="-110" windowWidth="19420" windowHeight="10420" xr2:uid="{00000000-000D-0000-FFFF-FFFF00000000}"/>
  </bookViews>
  <sheets>
    <sheet name="French" sheetId="1" r:id="rId1"/>
    <sheet name="German" sheetId="2" r:id="rId2"/>
    <sheet name="Portuguese" sheetId="3" r:id="rId3"/>
    <sheet name="Japanese" sheetId="4" r:id="rId4"/>
    <sheet name="Spanish" sheetId="5" r:id="rId5"/>
    <sheet name="Working" sheetId="6" state="hidden" r:id="rId6"/>
  </sheets>
  <definedNames>
    <definedName name="_xlnm._FilterDatabase" localSheetId="0" hidden="1">French!$A$4:$I$426</definedName>
    <definedName name="_xlnm._FilterDatabase" localSheetId="1" hidden="1">German!$A$4:$I$511</definedName>
    <definedName name="_xlnm._FilterDatabase" localSheetId="3" hidden="1">Japanese!$A$4:$I$1003</definedName>
    <definedName name="_xlnm._FilterDatabase" localSheetId="2" hidden="1">Portuguese!$A$4:$I$845</definedName>
    <definedName name="_xlnm._FilterDatabase" localSheetId="4" hidden="1">Spanish!$A$4:$I$806</definedName>
    <definedName name="_xlnm._FilterDatabase" localSheetId="5" hidden="1">Working!$A$1:$I$332</definedName>
    <definedName name="Z_1A28EF4D_0D77_45E5_A4C1_6B9B3C667025_.wvu.FilterData" localSheetId="5" hidden="1">Working!$A$1:$I$332</definedName>
    <definedName name="Z_28D52392_BCD7_4248_A054_C8E0379CA5DD_.wvu.FilterData" localSheetId="5" hidden="1">Working!$A$1:$I$332</definedName>
    <definedName name="Z_4E115EA7_612B_474B_B3C8_D32D5AC72062_.wvu.FilterData" localSheetId="5" hidden="1">Working!$A$1:$I$332</definedName>
    <definedName name="Z_5EB6946C_62CF_41DF_B1CE_586522E612F5_.wvu.FilterData" localSheetId="5" hidden="1">Working!$A$1:$I$332</definedName>
    <definedName name="Z_84C3DA30_7F6D_4CF4_AA73_0EBE7CD1D836_.wvu.FilterData" localSheetId="5" hidden="1">Working!$A$1:$I$332</definedName>
    <definedName name="Z_B76413AC_7E69_48CB_9E94_D5C837402145_.wvu.FilterData" localSheetId="5" hidden="1">Working!$A$1:$I$332</definedName>
    <definedName name="Z_DCBA4608_B983_4A77_80E7_5FA86C60B107_.wvu.FilterData" localSheetId="5" hidden="1">Working!$A$1:$I$332</definedName>
    <definedName name="Z_ED13E4A1_D5DC_4C79_B278_4AD560406BC2_.wvu.FilterData" localSheetId="5" hidden="1">Working!$A$1:$I$332</definedName>
    <definedName name="Z_EEFFA13A_E362_4119_9D25_A7BF8D90FE73_.wvu.FilterData" localSheetId="5" hidden="1">Working!$A$1:$I$332</definedName>
    <definedName name="Z_F60FC9D7_2635_4C8F_8D9E_0B948DC7326A_.wvu.FilterData" localSheetId="5" hidden="1">Working!$A$1:$I$332</definedName>
  </definedNames>
  <calcPr calcId="191029"/>
  <customWorkbookViews>
    <customWorkbookView name="Sarah S" guid="{1A28EF4D-0D77-45E5-A4C1-6B9B3C667025}" maximized="1" windowWidth="0" windowHeight="0" activeSheetId="0"/>
    <customWorkbookView name="Erin Working" guid="{B76413AC-7E69-48CB-9E94-D5C837402145}" maximized="1" windowWidth="0" windowHeight="0" activeSheetId="0"/>
    <customWorkbookView name="Worst Courses Check" guid="{5EB6946C-62CF-41DF-B1CE-586522E612F5}" maximized="1" windowWidth="0" windowHeight="0" activeSheetId="0"/>
    <customWorkbookView name="April's View" guid="{84C3DA30-7F6D-4CF4-AA73-0EBE7CD1D836}" maximized="1" windowWidth="0" windowHeight="0" activeSheetId="0"/>
    <customWorkbookView name="Laura Bustarviejo" guid="{DCBA4608-B983-4A77-80E7-5FA86C60B107}" maximized="1" windowWidth="0" windowHeight="0" activeSheetId="0"/>
    <customWorkbookView name="Jasmin's Working" guid="{ED13E4A1-D5DC-4C79-B278-4AD560406BC2}" maximized="1" windowWidth="0" windowHeight="0" activeSheetId="0"/>
    <customWorkbookView name="Dana's Working" guid="{4E115EA7-612B-474B-B3C8-D32D5AC72062}" maximized="1" windowWidth="0" windowHeight="0" activeSheetId="0"/>
    <customWorkbookView name="SJ Filter" guid="{EEFFA13A-E362-4119-9D25-A7BF8D90FE73}" maximized="1" windowWidth="0" windowHeight="0" activeSheetId="0"/>
    <customWorkbookView name="Matt's filter" guid="{28D52392-BCD7-4248-A054-C8E0379CA5DD}" maximized="1" windowWidth="0" windowHeight="0" activeSheetId="0"/>
    <customWorkbookView name="Sonny's Filter" guid="{F60FC9D7-2635-4C8F-8D9E-0B948DC7326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06" i="5" l="1"/>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alcChain>
</file>

<file path=xl/sharedStrings.xml><?xml version="1.0" encoding="utf-8"?>
<sst xmlns="http://schemas.openxmlformats.org/spreadsheetml/2006/main" count="16730" uniqueCount="6086">
  <si>
    <t xml:space="preserve">n </t>
  </si>
  <si>
    <r>
      <rPr>
        <b/>
        <sz val="12"/>
        <color rgb="FFFFFFFF"/>
        <rFont val="arial,sans,sans-serif"/>
      </rPr>
      <t xml:space="preserve">List of International Collection courses in </t>
    </r>
    <r>
      <rPr>
        <b/>
        <u/>
        <sz val="12"/>
        <color rgb="FFFFFFFF"/>
        <rFont val="arial,sans,sans-serif"/>
      </rPr>
      <t>French</t>
    </r>
  </si>
  <si>
    <t>Total courses: 422</t>
  </si>
  <si>
    <t>CourseID</t>
  </si>
  <si>
    <t>Category</t>
  </si>
  <si>
    <t>Subcategory</t>
  </si>
  <si>
    <t>Course Title</t>
  </si>
  <si>
    <t>Translated Title</t>
  </si>
  <si>
    <t>Instructor</t>
  </si>
  <si>
    <t>Course Rating</t>
  </si>
  <si>
    <t>Hrs. of Video</t>
  </si>
  <si>
    <t>Instructional Level</t>
  </si>
  <si>
    <t>Cloud Computing</t>
  </si>
  <si>
    <t>Cloud Fundamentals</t>
  </si>
  <si>
    <t>Microsoft Azure : maîtriser les fondamentaux par la pratique</t>
  </si>
  <si>
    <t>Microsoft Azure: master the fundamentals through practice</t>
  </si>
  <si>
    <t>Pascal Lochert</t>
  </si>
  <si>
    <t>Beginner</t>
  </si>
  <si>
    <t>AWS - Les 12 services fondamentaux du cloud N°1</t>
  </si>
  <si>
    <t>AWS - The 12 basic cloud services No. 1</t>
  </si>
  <si>
    <t>Erik JEULIN</t>
  </si>
  <si>
    <t>All Levels</t>
  </si>
  <si>
    <t>Qu'est-ce que l'informatique en nuage ou cloud computing ?</t>
  </si>
  <si>
    <t>What is cloud computing or cloud computing?</t>
  </si>
  <si>
    <t>Cloud Certification</t>
  </si>
  <si>
    <t>AWS Certified Solutions Architect Associate 2020 [SAA-C02]</t>
  </si>
  <si>
    <t>AZ-900 - Microsoft Azure Fondamentaux - Français</t>
  </si>
  <si>
    <t>AZ-900 - Microsoft Azure Fundamentals - French</t>
  </si>
  <si>
    <t>Jonathan Bourbonnais</t>
  </si>
  <si>
    <t>Migration de bases de données vers AWS en francais !</t>
  </si>
  <si>
    <t>database migration to AWS in french!</t>
  </si>
  <si>
    <t>Data Science</t>
  </si>
  <si>
    <t>Machine Learning</t>
  </si>
  <si>
    <t>Introduction au Machine Learning</t>
  </si>
  <si>
    <t>Hadelin de Ponteves</t>
  </si>
  <si>
    <t>Intelligence Artificielle de A à Z</t>
  </si>
  <si>
    <t>Artificial Intelligence: A to Z</t>
  </si>
  <si>
    <t>Analytics</t>
  </si>
  <si>
    <t>Microsoft Power BI Desktop Masterclass pour les Débutants</t>
  </si>
  <si>
    <t>Microsoft Power BI Desktop Masterclass for Beginners</t>
  </si>
  <si>
    <t>Cekou Coulibaly</t>
  </si>
  <si>
    <t>Microsoft Power BI : créez votre 1er rapport en une heure !</t>
  </si>
  <si>
    <t>Microsoft Power BI: create your first report in one hour!</t>
  </si>
  <si>
    <t>Dhania Mamodaly</t>
  </si>
  <si>
    <t>Big Data</t>
  </si>
  <si>
    <t>Le Deep Learning de A à Z</t>
  </si>
  <si>
    <t>Deep Learning from A to Z</t>
  </si>
  <si>
    <t>Machine Learning avec Python : La formation complète</t>
  </si>
  <si>
    <t>Machine Learning with Python: The Complete Training</t>
  </si>
  <si>
    <t>Rod | Python - SQL - Data Science - Machine Learning - Deep Learning</t>
  </si>
  <si>
    <t>SQL pour débutants (l'essentiel par la pratique)</t>
  </si>
  <si>
    <t>SQL beginners (mostly by doing)</t>
  </si>
  <si>
    <t>Les Data Sciences de A à Z</t>
  </si>
  <si>
    <t>The Data Sciences from A to Z</t>
  </si>
  <si>
    <t>Kirill Eremenko</t>
  </si>
  <si>
    <t>Introduction à l'analyse pour les non-data analystes</t>
  </si>
  <si>
    <t>Introduction to analysis for non-data analysts</t>
  </si>
  <si>
    <t>Chloé Cornuéjols</t>
  </si>
  <si>
    <t>Le guide complet d'Hadoop 2020 : maîtriser le Big Data</t>
  </si>
  <si>
    <t>The Complete Guide Hadoop 2020: master the Big Data</t>
  </si>
  <si>
    <t>Spark avec Scala - Pratique avec le Big Data pour Débutants</t>
  </si>
  <si>
    <t>Spark Scala - Practice with the Big Data for Beginners</t>
  </si>
  <si>
    <t>Le nid IT Formation</t>
  </si>
  <si>
    <t>Deep Learning avec TensorFlow 2 | Formation Complète</t>
  </si>
  <si>
    <t>Deep Learning with TensorFlow 2 | Complete training</t>
  </si>
  <si>
    <t>Jose Portilla</t>
  </si>
  <si>
    <t>Web Scraping et APIs Scraping avec Python (Cas réels inclus)</t>
  </si>
  <si>
    <t>Web Scraping Scraping APIs and Python (real case included)</t>
  </si>
  <si>
    <t>SQL pour la Data Science de A à Z (analyse de data réelles)</t>
  </si>
  <si>
    <t>SQL for Data Science A to Z (analysis of real data)</t>
  </si>
  <si>
    <t>Microsoft Power BI Masterclass - Intermédiaires et Avancés</t>
  </si>
  <si>
    <t>Microsoft Power BI Masterclass - Intermediate and Advanced</t>
  </si>
  <si>
    <t>Intermediate</t>
  </si>
  <si>
    <t>Data Science : Analyse de données avec Python</t>
  </si>
  <si>
    <t>Data Science: Data Analysis with Python</t>
  </si>
  <si>
    <t>Programmer en Python pour la Data Science de A à Z</t>
  </si>
  <si>
    <t>Programming in Python for Data Science A to Z</t>
  </si>
  <si>
    <t>Amandine Velt | Data Science - Python - R</t>
  </si>
  <si>
    <t>Tout comprendre du SQL ! Formation complète et rapide (3,5h)</t>
  </si>
  <si>
    <t>All understand SQL! complete and rapid training (3.5 hours)</t>
  </si>
  <si>
    <t>Bryan P.</t>
  </si>
  <si>
    <t>L'Intelligence Artificielle pour l'Entreprise</t>
  </si>
  <si>
    <t>Artificial Intelligence for the Enterprise</t>
  </si>
  <si>
    <t>SAP BI / SAP BusinessObjects Web Intelligence 4.2</t>
  </si>
  <si>
    <t>J BMZ</t>
  </si>
  <si>
    <t>Programmer en R pour la Data Science de A à Z</t>
  </si>
  <si>
    <t>Schedule R for Data Science A to Z</t>
  </si>
  <si>
    <t>Data Cleaning avec Pandas pour le Machine Learning [Python]</t>
  </si>
  <si>
    <t>Data Cleaning with Pandas for Machine Learning [Python]</t>
  </si>
  <si>
    <t>Rémi Connesson | Python - Data Science - Machine Learning - Deep Learning</t>
  </si>
  <si>
    <t>PHP et MySQL : la formation ULTIME</t>
  </si>
  <si>
    <t>PHP and MySQL: the ULTIMATE training</t>
  </si>
  <si>
    <t>Louis Nicolas Leuillet</t>
  </si>
  <si>
    <t>Data Visualization</t>
  </si>
  <si>
    <t>Présenter des données avec Excel, formation par la pratique</t>
  </si>
  <si>
    <t>Present data with Excel, training practice</t>
  </si>
  <si>
    <t>Marc Augier Programmation Web | Python | Bases de Données</t>
  </si>
  <si>
    <t>Les bases de données spatiales-PostGIS dans Postgres et QGIS</t>
  </si>
  <si>
    <t>Space-PostGIS databases to Postgres and QGIS</t>
  </si>
  <si>
    <t>CHAFIQ Tarik</t>
  </si>
  <si>
    <t>Google Data Studio : la formation express</t>
  </si>
  <si>
    <t>Vincent Chomier</t>
  </si>
  <si>
    <t>Design</t>
  </si>
  <si>
    <t>Web Design</t>
  </si>
  <si>
    <t>HTML5 et CSS3 : la formation ULTIME</t>
  </si>
  <si>
    <t>HTML5 and CSS3: the ULTIMATE training</t>
  </si>
  <si>
    <t>User Experience Design</t>
  </si>
  <si>
    <t>Adobe XD - La Formation Complète pour Débutants</t>
  </si>
  <si>
    <t>Adobe XD - The Complete Training for Beginners</t>
  </si>
  <si>
    <t>Axel Paris Adobe XD | UI/UX design | Web Design | PHP</t>
  </si>
  <si>
    <t>Graphic Design</t>
  </si>
  <si>
    <t>Photoshop CC 2020- Débutant à Intermédiaire + Ateliers créas</t>
  </si>
  <si>
    <t>Photoshop CC 2020-Beginner to Intermediate + Workshops créas</t>
  </si>
  <si>
    <t>ROMAIN DUCLOS</t>
  </si>
  <si>
    <t>UX &amp; Web Design : les fondamentaux</t>
  </si>
  <si>
    <t>UX &amp; Web Design: Fundamental</t>
  </si>
  <si>
    <t>Design Tools</t>
  </si>
  <si>
    <t>Illustrator CC 2020 Débutant-Techniques de base + Ateliers</t>
  </si>
  <si>
    <t>Illustrator CC 2020 Newbie-Technical Base + Workshops</t>
  </si>
  <si>
    <t>Photoshop : Guide complet - débutant &amp; intermédiaire</t>
  </si>
  <si>
    <t>Photoshop: The Complete Guide - Beginner &amp; Intermediate</t>
  </si>
  <si>
    <t>Antoine DEFARGES</t>
  </si>
  <si>
    <t>Sketchup - formation complète</t>
  </si>
  <si>
    <t>Sketchup - full training</t>
  </si>
  <si>
    <t>Timothée MEYRIEUX</t>
  </si>
  <si>
    <t>Introduction au Web Design</t>
  </si>
  <si>
    <t>Web Design Introduction</t>
  </si>
  <si>
    <t>Formation Complète After Effects CC en 24h</t>
  </si>
  <si>
    <t>Training After Effects CC Complete in 24 hours</t>
  </si>
  <si>
    <t>Sébastien ARMAND</t>
  </si>
  <si>
    <t>Créer un logo avec Inkscape</t>
  </si>
  <si>
    <t>Create a logo with Inkscape</t>
  </si>
  <si>
    <t>David Fauchet</t>
  </si>
  <si>
    <t>Filmer, monter et diffuser une vidéo avec son iPhone</t>
  </si>
  <si>
    <t>Shoot, edit and distribute video with his iPhone</t>
  </si>
  <si>
    <t>Sébastien Lardon</t>
  </si>
  <si>
    <t>Graphic Design - Cours le plus complet (AI-PSD-INDD)</t>
  </si>
  <si>
    <t>Graphic Design - Course the most complete (AI-PSD-INDD)</t>
  </si>
  <si>
    <t>Comment réaliser un montage ultra dynamique sur Premiere Pro</t>
  </si>
  <si>
    <t>How to achieve an ultra dynamic editing on Premiere Pro</t>
  </si>
  <si>
    <t>Charles SCHIELE</t>
  </si>
  <si>
    <t>Les Bases de Sketchup : Guide de survie pour les débutants.</t>
  </si>
  <si>
    <t>The Basics of Sketchup: Survival Guide for beginners.</t>
  </si>
  <si>
    <t>Indesign CC 2020 - MasterClass - Débutant à Intermédiaire</t>
  </si>
  <si>
    <t>Indesign CC 2020 - MasterClass - Beginner to Intermediate</t>
  </si>
  <si>
    <t>Cours AutoCAD Civil 3D : La formation Ultime</t>
  </si>
  <si>
    <t>Courses AutoCAD Civil 3D: The Ultimate Training</t>
  </si>
  <si>
    <t>Infratech Civil</t>
  </si>
  <si>
    <t>Photoshop pour débutants : le guide complet</t>
  </si>
  <si>
    <t>Photoshop for Beginners: The Complete Guide</t>
  </si>
  <si>
    <t>Thibault Houdon | Formateur et développeur Python</t>
  </si>
  <si>
    <t>Maîtriser le montage Vidéo avec Adobe Première CC</t>
  </si>
  <si>
    <t>Mastering Video editing with Adobe Premiere CC</t>
  </si>
  <si>
    <t>Jean-philippe Parein</t>
  </si>
  <si>
    <t>Devenir Web Designer - Le cours complet</t>
  </si>
  <si>
    <t>Become a Web Designer - The complete course</t>
  </si>
  <si>
    <t>Créez un site web avec SquareSpace, de 0 à la mise en ligne!</t>
  </si>
  <si>
    <t>Create a website with Squarespace, 0 to the on-line!</t>
  </si>
  <si>
    <t>Olivier Lambert</t>
  </si>
  <si>
    <t>Photoshop CC 2020- Avancé à Expert + Ateliers Créatifs</t>
  </si>
  <si>
    <t>Photoshop CC 2020-Advanced to Expert + Creative Workshops</t>
  </si>
  <si>
    <t>Blender 2.8 La formation complète du débutant à l'avancé</t>
  </si>
  <si>
    <t>Blender 2.8 complete training from beginner to advanced</t>
  </si>
  <si>
    <t>Julien Deville</t>
  </si>
  <si>
    <t>Figma: maîtrisez Conception Graphique &amp; Design</t>
  </si>
  <si>
    <t>Figma: Master Graphic Design &amp; Design</t>
  </si>
  <si>
    <t>Thomas M</t>
  </si>
  <si>
    <t>L'ART DIGITAL, le cours complet</t>
  </si>
  <si>
    <t>ART DIGITAL, the full course</t>
  </si>
  <si>
    <t>Damien Barban</t>
  </si>
  <si>
    <t>Maitrisez Final Cut Pro X (2019) et le montage vidéo</t>
  </si>
  <si>
    <t>Control Final Cut Pro X (2019) and editing video</t>
  </si>
  <si>
    <t>Christophe Lenoir</t>
  </si>
  <si>
    <t>Enscape pour SketchUp</t>
  </si>
  <si>
    <t>Enscape for SketchUp</t>
  </si>
  <si>
    <t>Lamy Frederic</t>
  </si>
  <si>
    <t>Formation complète Illustrator CC2019</t>
  </si>
  <si>
    <t>Full training Illustrator CC2019</t>
  </si>
  <si>
    <t>Malko Pouchin</t>
  </si>
  <si>
    <t>Formation complète : montage sur Final Cut Pro X</t>
  </si>
  <si>
    <t>Full training: editing on Final Cut Pro X</t>
  </si>
  <si>
    <t>Hugo Boué</t>
  </si>
  <si>
    <t>Maitrisez le montage vidéo avec Premiere Pro (Débutant)</t>
  </si>
  <si>
    <t>Control video editing with Premiere Pro (Basic)</t>
  </si>
  <si>
    <t>Charles-Edward OUVRIL PROUST</t>
  </si>
  <si>
    <t>Screencast, montage vidéo &amp; animation avec Screenflow</t>
  </si>
  <si>
    <t>Screencast, video &amp; movie editing with ScreenFlow</t>
  </si>
  <si>
    <t>Matthieu Blanco</t>
  </si>
  <si>
    <t>20 Ateliers Pratiques sur Adobe After Effects CC</t>
  </si>
  <si>
    <t>20 Practices Workshops Adobe After Effects CC</t>
  </si>
  <si>
    <t>Illustrator CC 2020- Intermédiaire - Outils + Ateliers Créas</t>
  </si>
  <si>
    <t>Illustrator CC 2020-Intermediate - Tools + Workshop Créas</t>
  </si>
  <si>
    <t>3D &amp; Animation</t>
  </si>
  <si>
    <t>Cinema 4D : La formation pour bien débuter en 3D</t>
  </si>
  <si>
    <t>Cinema 4D: Training for a good start in 3D</t>
  </si>
  <si>
    <t>Illustrator -Facebook -Teespring -Créez, vendez vos t-shirts</t>
  </si>
  <si>
    <t>Illustrator -Facebook -Teespring -Create, sell your shirts</t>
  </si>
  <si>
    <t>Blender 2.8 pour débutant - Création d'un sabre pour Unity</t>
  </si>
  <si>
    <t>Blender 2.8 Beginner - Creating a sword for Unity</t>
  </si>
  <si>
    <t>Formation complète Indesign CC2019</t>
  </si>
  <si>
    <t>Full training Indesign CC2019</t>
  </si>
  <si>
    <t>REVIT 2021 ARCHITECTURE</t>
  </si>
  <si>
    <t>Cédric Tran</t>
  </si>
  <si>
    <t>AFFINITY Designer | Initiation - Outils + Ateliers Créatifs</t>
  </si>
  <si>
    <t>AFFINITY Designer | Start - Tools + Creative Workshops</t>
  </si>
  <si>
    <t>Sketch 3 de A à Z</t>
  </si>
  <si>
    <t>Sketch 3 AZ</t>
  </si>
  <si>
    <t>112vente Sébastien Bauer</t>
  </si>
  <si>
    <t>UI/UX App Design : Designer des Applications avec Adobe XD</t>
  </si>
  <si>
    <t>UI / UX App Design: Designer Applications with Adobe XD</t>
  </si>
  <si>
    <t>Illustrator CC 2020 - Apprenez à faire des logos percutants</t>
  </si>
  <si>
    <t>Illustrator CC 2020 - Learn how to make impactful logos</t>
  </si>
  <si>
    <t>Formation Cinema 4D R20 Les fondamentaux</t>
  </si>
  <si>
    <t>Cinema 4D R20 Basic Training</t>
  </si>
  <si>
    <t>Blender 2.81 - Création d'insectes et araignées</t>
  </si>
  <si>
    <t>Blender 2.81 - Creation of insects and spiders</t>
  </si>
  <si>
    <t>Formation Complète Première Pro CC2020</t>
  </si>
  <si>
    <t>Training Complete First Pro CC2020</t>
  </si>
  <si>
    <t>10 Nouveaux Ateliers Pratiques sur Adobe After Effects CC</t>
  </si>
  <si>
    <t>10 New Practices Workshops Adobe After Effects CC</t>
  </si>
  <si>
    <t>Adobe Premiere Pro CC | Initiation | Outils + Ateliers créas</t>
  </si>
  <si>
    <t>Adobe Premiere Pro CC | initiation | Tools + Workshop créas</t>
  </si>
  <si>
    <t>Apprendre Inkscape le logiciel gratuit de dessin vectoriel.</t>
  </si>
  <si>
    <t>Learn Inkscape free vector drawing software.</t>
  </si>
  <si>
    <t>Philippe Libois</t>
  </si>
  <si>
    <t>Development</t>
  </si>
  <si>
    <t>Programming Languages</t>
  </si>
  <si>
    <t>La Formation Complète Python</t>
  </si>
  <si>
    <t>Training Complete Python</t>
  </si>
  <si>
    <t>Development Tools</t>
  </si>
  <si>
    <t>Introduction à Kubernetes</t>
  </si>
  <si>
    <t>Luc Juggery</t>
  </si>
  <si>
    <t>DevOps - Introduction aux fondements et principes clés</t>
  </si>
  <si>
    <t>DevOps - Introduction to key principles and fundamentals</t>
  </si>
  <si>
    <t>Jordan Assouline</t>
  </si>
  <si>
    <t>Web Development</t>
  </si>
  <si>
    <t>Formation Complète Développeur Web</t>
  </si>
  <si>
    <t>Training Complete Web Developer</t>
  </si>
  <si>
    <t>John Taieb (Codeur)</t>
  </si>
  <si>
    <t>Formation Git et GitHub: de Débutant à Confirmé</t>
  </si>
  <si>
    <t>Git and GitHub Training: Beginner to Advanced</t>
  </si>
  <si>
    <t>Arnaud Mercier</t>
  </si>
  <si>
    <t>La plateforme Docker</t>
  </si>
  <si>
    <t>The Docker platform</t>
  </si>
  <si>
    <t>Angular 9 : Développer votre première application (2021)</t>
  </si>
  <si>
    <t>Angular 9: Developing Your First Application (2021)</t>
  </si>
  <si>
    <t>Simon DIENY (React | Angular | Vue | Node)</t>
  </si>
  <si>
    <t>Débuter avec Docker</t>
  </si>
  <si>
    <t>Getting started with Docker</t>
  </si>
  <si>
    <t>Gildas Quiniou</t>
  </si>
  <si>
    <t>DevOps : Tout savoir de Docker en quelques heures</t>
  </si>
  <si>
    <t>DevOps: All about Docker within hours</t>
  </si>
  <si>
    <t>Bien débuter avec Spring et Spring Boot pour Java</t>
  </si>
  <si>
    <t>Getting started with Spring and Spring for Java Boot</t>
  </si>
  <si>
    <t>Jean-Philippe EHRET</t>
  </si>
  <si>
    <t>Devenez développeur Java</t>
  </si>
  <si>
    <t>Become a Java developer</t>
  </si>
  <si>
    <t>Formation Git Avancée: Devenez un expert de Git</t>
  </si>
  <si>
    <t>Git Advanced Training: Become a Git expert</t>
  </si>
  <si>
    <t>Advanced</t>
  </si>
  <si>
    <t>Python par la pratique : 101 Exercices Corrigés</t>
  </si>
  <si>
    <t>Python by doing 101 exercises Adjusted</t>
  </si>
  <si>
    <t>Apprendre Node.js &amp; Créer une API REST de A à Z !</t>
  </si>
  <si>
    <t>Node.js Learn &amp; Create a REST API from A to Z!</t>
  </si>
  <si>
    <t>React 16+ Le Guide Complet (+Redux, React Router &amp; Firebase)</t>
  </si>
  <si>
    <t>Antho Welc</t>
  </si>
  <si>
    <t>Ce que vous devez savoir AVANT d'apprendre la PROGRAMMATION</t>
  </si>
  <si>
    <t>What you need to know BEFORE you learn PROGRAMMING</t>
  </si>
  <si>
    <t>Michel Kartner</t>
  </si>
  <si>
    <t>Python : Cours complet pour débutant (Manipulation de Data)</t>
  </si>
  <si>
    <t>Python: Complete Course for Beginners (Data Handling)</t>
  </si>
  <si>
    <t>JavaScript : la formation ULTIME</t>
  </si>
  <si>
    <t>JavaScript: the ULTIMATE training</t>
  </si>
  <si>
    <t>React 17: Développer Votre Première Application React (2021)</t>
  </si>
  <si>
    <t>React 17: Developing Your First Application React (2021)</t>
  </si>
  <si>
    <t>Développeur d'Applications Mobiles | Formation Complète 2021</t>
  </si>
  <si>
    <t>Mobile Application Developer | Complete Training 2021</t>
  </si>
  <si>
    <t>Jonathan Roux | Python - C# - iOS - Android</t>
  </si>
  <si>
    <t>Mobile Development</t>
  </si>
  <si>
    <t>Flutter &amp; Dart: Créez des applications pour iOS et Android</t>
  </si>
  <si>
    <t>Flutter &amp; Dart: Create apps for iOS and Android</t>
  </si>
  <si>
    <t>Matthieu Passerel</t>
  </si>
  <si>
    <t>Java EE : Devenez développeur d'applications Web Java</t>
  </si>
  <si>
    <t>Java EE: Become Developer Java Web Applications</t>
  </si>
  <si>
    <t>Python : les interfaces graphiques avec PySide</t>
  </si>
  <si>
    <t>Python GUIs with PySide</t>
  </si>
  <si>
    <t>Python avancé : aller plus loin</t>
  </si>
  <si>
    <t>Advanced Python: go further</t>
  </si>
  <si>
    <t>Database Design &amp; Development</t>
  </si>
  <si>
    <t>Conception de bases de données et langage SQL</t>
  </si>
  <si>
    <t>database design and SQL</t>
  </si>
  <si>
    <t>Gilles Vanderstraeten</t>
  </si>
  <si>
    <t>Spring Batch par la pratique</t>
  </si>
  <si>
    <t>Spring Batch by practice</t>
  </si>
  <si>
    <t>Mohamed ZAROUAL</t>
  </si>
  <si>
    <t>HTML et CSS - Le Cours Complet</t>
  </si>
  <si>
    <t>HTML and CSS - The Complete Course</t>
  </si>
  <si>
    <t>Android &amp; Kotlin | Formation complète</t>
  </si>
  <si>
    <t>Android &amp; Kotlin | full training</t>
  </si>
  <si>
    <t>Robin Penea</t>
  </si>
  <si>
    <t>ANGULAR 10 et Firebase par la pratique</t>
  </si>
  <si>
    <t>ANGLE 10 and Firebase through practice</t>
  </si>
  <si>
    <t>Bryan BERGER</t>
  </si>
  <si>
    <t>Le langage Go | Formation complète</t>
  </si>
  <si>
    <t>The Go language | full training</t>
  </si>
  <si>
    <t>React de A à Z (React Hooks inclus)</t>
  </si>
  <si>
    <t>Enzo Ustariz</t>
  </si>
  <si>
    <t>WordPress - Le Cours Complet</t>
  </si>
  <si>
    <t>WordPress - The Complete Course</t>
  </si>
  <si>
    <t>Formation Complète sur Arduino : les premiers pas vers l'IoT</t>
  </si>
  <si>
    <t>Training Complete Arduino: the first steps towards IoT</t>
  </si>
  <si>
    <t>Adonis Bou Chakra</t>
  </si>
  <si>
    <t>Les bases de Python par la pratique</t>
  </si>
  <si>
    <t>Python bases through practice</t>
  </si>
  <si>
    <t>Apprendre C# et le développement de logiciels avec WPF</t>
  </si>
  <si>
    <t>Learning C # and software development with WPF</t>
  </si>
  <si>
    <t>Anthony Cardinale</t>
  </si>
  <si>
    <t>JavaScript ES6</t>
  </si>
  <si>
    <t>iOS 14 et Swift 5.3: Le Cours complet</t>
  </si>
  <si>
    <t>14 iOS 5.3 and Swift: The Complete Course</t>
  </si>
  <si>
    <t>Ce que vous devez savoir sur la blockchain</t>
  </si>
  <si>
    <t>What you need to know about blockchain</t>
  </si>
  <si>
    <t>Jean-François Distributed Innovation</t>
  </si>
  <si>
    <t>Java et les bases de données avec JDBC, Hibernate et JPA</t>
  </si>
  <si>
    <t>Java and databases with JDBC, Hibernate and JPA</t>
  </si>
  <si>
    <t>Créez votre site WordPress de A à Z - Débutants</t>
  </si>
  <si>
    <t>Create your WordPress site from A to Z - Beginners</t>
  </si>
  <si>
    <t>Stephanie Canovas</t>
  </si>
  <si>
    <t>Apprendre le HTML5 et CSS3 | Débutant à Expert Guide complet</t>
  </si>
  <si>
    <t>Learn HTML5 and CSS3 | Beginner to Expert Complete Guide</t>
  </si>
  <si>
    <t>Les bases de Symfony 4</t>
  </si>
  <si>
    <t>Symfony bases 4</t>
  </si>
  <si>
    <t>Florent NICOLAS</t>
  </si>
  <si>
    <t>Développeur Python | Formation Complète 2021</t>
  </si>
  <si>
    <t>Python Developer | Complete Training 2021</t>
  </si>
  <si>
    <t>La Formation Complète PyCharm</t>
  </si>
  <si>
    <t>Training Complete PyCharm</t>
  </si>
  <si>
    <t>Maîtriser asp.net 5.0/core, pour des applications web pro !</t>
  </si>
  <si>
    <t>Mastering asp.net 5.0 / core, for pro web applications!</t>
  </si>
  <si>
    <t>Evan BOISSONNOT</t>
  </si>
  <si>
    <t>Apprendre la programmation en C: cours complet</t>
  </si>
  <si>
    <t>Learn C programming: complete course</t>
  </si>
  <si>
    <t>Créer 5 applications de bureau avec Qt for Python (PySide2)</t>
  </si>
  <si>
    <t>5 Create desktop applications with Qt for Python (PySide2)</t>
  </si>
  <si>
    <t>Node.js - Express.js - JWT et Mongoose par la pratique</t>
  </si>
  <si>
    <t>Node.js - express.js - JWT and Mongoose through practice</t>
  </si>
  <si>
    <t>Code Concept formations Mongo Express Angular Node React Vue</t>
  </si>
  <si>
    <t>Django &amp; Python | Maitrisez le développement web</t>
  </si>
  <si>
    <t>Django &amp; Python | Control web development</t>
  </si>
  <si>
    <t>ReactJS pour débutants (+ React Router)</t>
  </si>
  <si>
    <t>ReactJS for beginners (+ React Router)</t>
  </si>
  <si>
    <t>API REST avec Symfony 4 et API Platform + App Windev Mobile</t>
  </si>
  <si>
    <t>REST API with Symfony 4 and Platform API + App Mobile Windev</t>
  </si>
  <si>
    <t>Rolland Stéphane</t>
  </si>
  <si>
    <t>Formation complète développeur Front-End</t>
  </si>
  <si>
    <t>Complete Front-End Developer Training</t>
  </si>
  <si>
    <t>PHP - Le Cours Complet</t>
  </si>
  <si>
    <t>PHP - The Complete Course</t>
  </si>
  <si>
    <t>PHP et MySQL - Le Cours Complet</t>
  </si>
  <si>
    <t>PHP and MySQL - The Complete Course</t>
  </si>
  <si>
    <t>VRAIMENT Bien Comprendre Javascript</t>
  </si>
  <si>
    <t>REALLY Of Understanding JavaScript</t>
  </si>
  <si>
    <t>Créer une application Android facilement sans programmation</t>
  </si>
  <si>
    <t>Create an Android application easily without programming</t>
  </si>
  <si>
    <t>Le C++ moderne par le développement de jeux</t>
  </si>
  <si>
    <t>The modern C ++ for game development</t>
  </si>
  <si>
    <t>Nicolas Koenig</t>
  </si>
  <si>
    <t>BOOTSTRAP 4 : la formation ULTIME</t>
  </si>
  <si>
    <t>BOOTSTRAP 4: la formation LATEST</t>
  </si>
  <si>
    <t>Travaux pratiques Java</t>
  </si>
  <si>
    <t>Java Lab</t>
  </si>
  <si>
    <t>Flexbox CSS - Le guide complet par la pratique</t>
  </si>
  <si>
    <t>Flexbox CSS - The Complete Guide by doing</t>
  </si>
  <si>
    <t>Développement Front-End - React.js 16.8</t>
  </si>
  <si>
    <t>Front-End Development - 16.8 React.js</t>
  </si>
  <si>
    <t>Sandra L</t>
  </si>
  <si>
    <t>Vue.js de A à Z</t>
  </si>
  <si>
    <t>Vue.js AZ</t>
  </si>
  <si>
    <t>React Native Masterclass (2020) : 4 Grands Secrets</t>
  </si>
  <si>
    <t>React Native Masterclass (2020): Great 4 Secrets</t>
  </si>
  <si>
    <t>Julien Kisoni</t>
  </si>
  <si>
    <t>Android &amp; Kotlin | Apps Next Gen et Architecture Components</t>
  </si>
  <si>
    <t>Débutez en Rust</t>
  </si>
  <si>
    <t>Start by Rust</t>
  </si>
  <si>
    <t>Stéphane G.</t>
  </si>
  <si>
    <t>Game Development</t>
  </si>
  <si>
    <t>Unreal Engine 4 : Le Guide Complet (2020)</t>
  </si>
  <si>
    <t>Unreal Engine 4: The Complet Guide (2020)</t>
  </si>
  <si>
    <t>Michael Gerard</t>
  </si>
  <si>
    <t>Le développement web de A à Z par la pratique</t>
  </si>
  <si>
    <t>Web development from A to Z through practice</t>
  </si>
  <si>
    <t>Boris Flesch</t>
  </si>
  <si>
    <t>Blender 2.7-9 - Le guide complet pour la création graphique</t>
  </si>
  <si>
    <t>Blender 2.7-9 - The complete guide to graphic design</t>
  </si>
  <si>
    <t>Maîtriser Unity et le C# | Guide Complet Développeur</t>
  </si>
  <si>
    <t>Mastering Unity and C # | Full Developer Guide</t>
  </si>
  <si>
    <t>Unreal Engine: Création D'un Projet Architectural Interactif</t>
  </si>
  <si>
    <t>Unreal Engine Creation On Architectural Interactive Project</t>
  </si>
  <si>
    <t>Software Testing</t>
  </si>
  <si>
    <t>Initiation au test logiciel ou application mobile</t>
  </si>
  <si>
    <t>Introduction to test software or mobile</t>
  </si>
  <si>
    <t>Antoine Lavarec</t>
  </si>
  <si>
    <t>Wix : créez votre site web de A à Z sans coder !</t>
  </si>
  <si>
    <t>Wix: create your website from A to Z without coding!</t>
  </si>
  <si>
    <t>JavaScript : le Guide Ultime (ES6 et ES7 inclus)</t>
  </si>
  <si>
    <t>JavaScript: The Ultimate Guide (SS6 and SS7 included)</t>
  </si>
  <si>
    <t>Développement Moderne Javascript et ES6,ES7</t>
  </si>
  <si>
    <t>Modern development JavaScript and SS6, SS7</t>
  </si>
  <si>
    <t>Formation Création de Jeux Vidéo - Unreal Engine 4 avec NICO</t>
  </si>
  <si>
    <t>Training Creation of Video Games - Unreal Engine 4 with NICO</t>
  </si>
  <si>
    <t>NICO Youtube</t>
  </si>
  <si>
    <t>Android Sensors | Cas pratiques d'applications</t>
  </si>
  <si>
    <t>Android Sensors | Case studies of applications</t>
  </si>
  <si>
    <t>Développement Front - ReactJS, Redux et l'API Contexte</t>
  </si>
  <si>
    <t>Development Front - ReactJS, Redux and API Context</t>
  </si>
  <si>
    <t>Créer une API REST avec Node.js &amp; Express.js</t>
  </si>
  <si>
    <t>Create a REST API with Node.js &amp; express.js</t>
  </si>
  <si>
    <t>30 Exercices Orientés Objets avec Python</t>
  </si>
  <si>
    <t>30 Exercises Object Oriented Python</t>
  </si>
  <si>
    <t>Apprendre à programmer en C#</t>
  </si>
  <si>
    <t>Learning to program in C #</t>
  </si>
  <si>
    <t>SwiftUI pour iOS 14, iPadOS 14 et macOS 11</t>
  </si>
  <si>
    <t>SwiftUI for iOS 14 iPadOS 14 and 11 macOS</t>
  </si>
  <si>
    <t>Créer un beau site responsive de A à Z avec Bootstrap !</t>
  </si>
  <si>
    <t>Create a beautiful site responsive from A to Z with Bootstrap!</t>
  </si>
  <si>
    <t>SASS &amp; SCSS : la formation ULTIME</t>
  </si>
  <si>
    <t>SASS &amp; SCSS: ULTIMATE training</t>
  </si>
  <si>
    <t>Bootstrap en partant de Zéro</t>
  </si>
  <si>
    <t>Bootstrap from scratch</t>
  </si>
  <si>
    <t>Vue.js 2 - Le guide complet pour débutant</t>
  </si>
  <si>
    <t>Vue.js 2 - The comprehensive guide for beginners</t>
  </si>
  <si>
    <t>WordPress - Votre site Pro simplement et gratuitement</t>
  </si>
  <si>
    <t>WordPress - Your Site Pro easily and free</t>
  </si>
  <si>
    <t>Les animations avec Flutter et Dart</t>
  </si>
  <si>
    <t>The animations with Flutter and Dart</t>
  </si>
  <si>
    <t>Vue.js 2 : La formation complète pour débutant</t>
  </si>
  <si>
    <t>Vue.js 2: Complete training for beginners</t>
  </si>
  <si>
    <t>Michel Martin</t>
  </si>
  <si>
    <t>Les bases de Laravel 7</t>
  </si>
  <si>
    <t>The basics of Laravel 7</t>
  </si>
  <si>
    <t>Formation Unity 3D (2020) : Créez des jeux avec Unity et C#</t>
  </si>
  <si>
    <t>Training Unity 3D (2020): Create games with Unity and C #</t>
  </si>
  <si>
    <t>Bootstrap - Le Cours Complet</t>
  </si>
  <si>
    <t>Bootstrap - The Complete Course</t>
  </si>
  <si>
    <t>Formation Complète Développeur de jeux vidéo - UNITY3D</t>
  </si>
  <si>
    <t>Complete Training Developer of video games - UNITY3D</t>
  </si>
  <si>
    <t>Jeux &amp; App en Réalité augmentée avec Unity et Vuforia</t>
  </si>
  <si>
    <t>Games &amp; App Augmented Reality with Unity and Vuforia</t>
  </si>
  <si>
    <t>Blender 2.79 - Création d'environnements naturels</t>
  </si>
  <si>
    <t>Blender 2.79 - Creation of natural environments</t>
  </si>
  <si>
    <t>Le traitement d'images avec Python</t>
  </si>
  <si>
    <t>The image processing with Python</t>
  </si>
  <si>
    <t>JavaScript : Créez des animations avec GreenSock</t>
  </si>
  <si>
    <t>JavaScript: Create animations with GreenSock</t>
  </si>
  <si>
    <t>Devenir opérationnel rapidement en Vue et Vuex</t>
  </si>
  <si>
    <t>Become quickly operational and Vuex View</t>
  </si>
  <si>
    <t>Deviens un Super Product Owner !</t>
  </si>
  <si>
    <t>Become a Super Product Owner!</t>
  </si>
  <si>
    <t>Farouk ZEMMOURI</t>
  </si>
  <si>
    <t>Créer un site PHP avec Bootstrap/PDO et MVC pour débutant</t>
  </si>
  <si>
    <t>Create a PHP site with Bootstrap / PDO and MVC beginner</t>
  </si>
  <si>
    <t>Le CSS de A à Z</t>
  </si>
  <si>
    <t>CSS A to Z</t>
  </si>
  <si>
    <t>Godot Engine : Création de jeux 3D avec le moteur libre</t>
  </si>
  <si>
    <t>Godot Engine: Creating 3D games with the free engine</t>
  </si>
  <si>
    <t>Unity3D Développer, Monétiser un jeu pour Smartphone ANDROID</t>
  </si>
  <si>
    <t>Unity3D Develop, Monetizing a game for Smartphone ANDROID</t>
  </si>
  <si>
    <t>Les animations CSS en 9 projets</t>
  </si>
  <si>
    <t>CSS animations 9 projects</t>
  </si>
  <si>
    <t>Le guide complet pour débuter sur Arduino de A à Z</t>
  </si>
  <si>
    <t>The complete guide to start with Arduino A to Z</t>
  </si>
  <si>
    <t>Alexandre et Maxime DUTRES</t>
  </si>
  <si>
    <t>Développer avec Bootstrap 4 - Le Cours Complet</t>
  </si>
  <si>
    <t>Develop with Bootstrap 4 - The Complete Course</t>
  </si>
  <si>
    <t>Créez 4 Apps et Jeux en Réalité Augmentée-Vuforia-Unity</t>
  </si>
  <si>
    <t>4 Create Apps and Games Augmented Reality-Vuforia-Unity</t>
  </si>
  <si>
    <t>Taurisano Alexandre</t>
  </si>
  <si>
    <t>Unreal Engine (4.20) | Votre premier jeu | (Débutants)</t>
  </si>
  <si>
    <t>Unreal Engine (4.20) | Your first game | (Beginner)</t>
  </si>
  <si>
    <t>Florian (Chamiks)</t>
  </si>
  <si>
    <t>Socket.IO : Créer une discussion instantanée de A à Z</t>
  </si>
  <si>
    <t>Socket.IO: Create instant chat from A to Z</t>
  </si>
  <si>
    <t>Unreal Engine 4: Création d'un FPS</t>
  </si>
  <si>
    <t>Unreal Engine 4: Creating an SPF</t>
  </si>
  <si>
    <t>Créer un Site professionnel et responsive en 2020</t>
  </si>
  <si>
    <t>Create a professional and responsive website in 2020</t>
  </si>
  <si>
    <t>La MEAN stack par la pratique</t>
  </si>
  <si>
    <t>The MEAN stack through practice</t>
  </si>
  <si>
    <t>iOS 13 Swift 5.1: Le cours complet</t>
  </si>
  <si>
    <t>13 Swift iOS 5.1: The complete course</t>
  </si>
  <si>
    <t>La visualisation de données avec D3.js</t>
  </si>
  <si>
    <t>Data visualization with d3.js</t>
  </si>
  <si>
    <t>Git &amp; GitHub : la formation ULTIME</t>
  </si>
  <si>
    <t>Git &amp; GitHub: ULTIMATE training</t>
  </si>
  <si>
    <t>jQuery - Le Cours Complet</t>
  </si>
  <si>
    <t>jQuery - The Complete Course</t>
  </si>
  <si>
    <t>Créez des sites avec WordPress ! - Débutants</t>
  </si>
  <si>
    <t>Create websites with WordPress! - Beginners</t>
  </si>
  <si>
    <t>Etienne de Saint Victor</t>
  </si>
  <si>
    <t>Python 3 : Formation complète à la programmation</t>
  </si>
  <si>
    <t>Python 3: Complete Training for programming</t>
  </si>
  <si>
    <t>Javascript débarque dans notre Navigateur</t>
  </si>
  <si>
    <t>Javascript landed in our browser</t>
  </si>
  <si>
    <t>Réaliser votre personnage avec Blender &amp; Unity | de A à Z</t>
  </si>
  <si>
    <t>Realize your character with Blender &amp; Unity | from A to Z</t>
  </si>
  <si>
    <t>iOS 12 et Swift 4.2 de zéro à héros: le cours complet</t>
  </si>
  <si>
    <t>iOS 4.2 and Swift 12 from zero to hero: the complete course</t>
  </si>
  <si>
    <t>Formation Meteor: Maîtrisez et créez vos sites de A à Z</t>
  </si>
  <si>
    <t>Meteor Training: Master and create your AZ sites</t>
  </si>
  <si>
    <t>Gaëtan Rouziès</t>
  </si>
  <si>
    <t>Animations CSS - Le guide par la pratique</t>
  </si>
  <si>
    <t>CSS Animations - The guide through practice</t>
  </si>
  <si>
    <t>Créez des animations javascript avec l'HTML Canvas</t>
  </si>
  <si>
    <t>Create javascript animations with HTML Canvas</t>
  </si>
  <si>
    <t>SwiftUI créez des applications pour iOS 13, iPadOS et macOS</t>
  </si>
  <si>
    <t>SwiftUI create applications for iOS 13 iPadOS and macOS</t>
  </si>
  <si>
    <t>Développement Web Fullstack MERN</t>
  </si>
  <si>
    <t>Full Stack Web development NUMBERS</t>
  </si>
  <si>
    <t>Les animations au Scroll en 9 projets</t>
  </si>
  <si>
    <t>The animations Scroll in 9 projects</t>
  </si>
  <si>
    <t>Le C par la pratique : plus de 100 exercices corrigés</t>
  </si>
  <si>
    <t>C through practice more than 100 fixed exercises</t>
  </si>
  <si>
    <t>Python — Le Cours Ultime pour passer de Zéro à Pro</t>
  </si>
  <si>
    <t>Python - The Ultimate Course to go from Zero to Pro</t>
  </si>
  <si>
    <t>SQL et Data Visualization - Le Cours Complet</t>
  </si>
  <si>
    <t>SQL and Data Visualization - The Complete Course</t>
  </si>
  <si>
    <t>Raffi Sarkissian | SQL | PostgreSQL | Metabase</t>
  </si>
  <si>
    <t>Apprendre à créer son application Desktop Electron de À à Z</t>
  </si>
  <si>
    <t>Learn how to create a desktop application Electron In AZ</t>
  </si>
  <si>
    <t>Thomas CHEVALIER</t>
  </si>
  <si>
    <t>Formation complète du modèle MVC en PHP procédural</t>
  </si>
  <si>
    <t>Full training of the MVC pattern in procedural PHP</t>
  </si>
  <si>
    <t>Mohammed MASTAFI</t>
  </si>
  <si>
    <t>Wordpress pour débutant : Crée ton Propre Site de A à Z</t>
  </si>
  <si>
    <t>Wordpress for Beginners: Your Own Website A to Z</t>
  </si>
  <si>
    <t>Jonathan Panarotto</t>
  </si>
  <si>
    <t>20 Projets en JavaScript</t>
  </si>
  <si>
    <t>20 Projects in JavaScript</t>
  </si>
  <si>
    <t>Créer un jeu multiplayer avec UNITY et Photon Cloud</t>
  </si>
  <si>
    <t>Create a multiplayer game with UNITY and Photon Cloud</t>
  </si>
  <si>
    <t>Flutter et Cloud Firestore: Créez votre réseau social</t>
  </si>
  <si>
    <t>Flutter and Cloud Firestore: Create a social network</t>
  </si>
  <si>
    <t>Créez des sites &amp; thèmes WordPress avec Elementor sans coder</t>
  </si>
  <si>
    <t>Create websites with WordPress themes &amp; Elementor without coding</t>
  </si>
  <si>
    <t>Apprenez à résoudre des algorithmes en JavaScript</t>
  </si>
  <si>
    <t>Learn to solve algorithms in JavaScript</t>
  </si>
  <si>
    <t>Créer une application web avec Django</t>
  </si>
  <si>
    <t>Create a web application with Django</t>
  </si>
  <si>
    <t>PHP Orienté Objet à partir de zéro</t>
  </si>
  <si>
    <t>Object Oriented PHP from scratch</t>
  </si>
  <si>
    <t>Bootstrap 5 : Le guide complet</t>
  </si>
  <si>
    <t>Bootstrap 5: The Complete Guide</t>
  </si>
  <si>
    <t>Valentin Bach</t>
  </si>
  <si>
    <t>UNITY 2020 &amp; BOLT: Créer des jeux SANS CODER (visual script)</t>
  </si>
  <si>
    <t>UNITY 2020 &amp; BOLT: Creating games WITHOUT CODE (visual script)</t>
  </si>
  <si>
    <t>Coder 3 sites de A à Z.</t>
  </si>
  <si>
    <t>Coder 3 websites from A to Z.</t>
  </si>
  <si>
    <t>Finance &amp; Accounting</t>
  </si>
  <si>
    <t>Investing &amp; Trading</t>
  </si>
  <si>
    <t>Bitcoin &amp; cryptomonnaies : comprendre, acheter et vendre !</t>
  </si>
  <si>
    <t>Bitcoin &amp; cryptomonnaies: understand, buy and sell!</t>
  </si>
  <si>
    <t>Accounting</t>
  </si>
  <si>
    <t>Apprendre la comptabilité générale</t>
  </si>
  <si>
    <t>Learn general accounting</t>
  </si>
  <si>
    <t>Philippe CAMPOS</t>
  </si>
  <si>
    <t>Financial Modeling &amp; Analysis</t>
  </si>
  <si>
    <t>Python Finance - Analyse Financière &amp; Algorithmes de Trading</t>
  </si>
  <si>
    <t>Python Finance - Financial Analysis &amp; Trading Algorithms</t>
  </si>
  <si>
    <t>Le scalping - Apprendre le trading court terme</t>
  </si>
  <si>
    <t>Scalping - Learn short term trading</t>
  </si>
  <si>
    <t>Antoine LEGAY</t>
  </si>
  <si>
    <t>Day Trading - Réussir sur les marchés</t>
  </si>
  <si>
    <t>Day Trading - Making markets</t>
  </si>
  <si>
    <t>Apprendre à trader sur le marché du Forex - guide complet</t>
  </si>
  <si>
    <t>Learn to trade the Forex market - Complete Guide</t>
  </si>
  <si>
    <t>Trader sur le Forex avec Ichimoku</t>
  </si>
  <si>
    <t>Forex trader with Ichimoku</t>
  </si>
  <si>
    <t>Le scalping avec Ichimoku</t>
  </si>
  <si>
    <t>Scalping with Ichimoku</t>
  </si>
  <si>
    <t>Trading Forex - L'analyse des volumes</t>
  </si>
  <si>
    <t>Forex Trading - The volume analysis</t>
  </si>
  <si>
    <t>Guide ULTIME | investir en Bitcoin et cryptomonnaies 2020</t>
  </si>
  <si>
    <t>ULTIMATE Guide | investing in Bitcoin and cryptomonnaies 2020</t>
  </si>
  <si>
    <t>Dylan Plaisse</t>
  </si>
  <si>
    <t>Initiation au trading Forex en 1 heure !</t>
  </si>
  <si>
    <t>Forex Trading Introduction to 1 hour!</t>
  </si>
  <si>
    <t>Apprendre à trader les Indices Boursiers - le guide complet</t>
  </si>
  <si>
    <t>Learn to trade the Indices Futures Indices - the complete guide</t>
  </si>
  <si>
    <t>Devenez Investisseur Immobilier</t>
  </si>
  <si>
    <t>Become a Real Estate Investor</t>
  </si>
  <si>
    <t>Sébastien Chiquois</t>
  </si>
  <si>
    <t>Trading Forex - Trader avec les fourchettes d'Andrews</t>
  </si>
  <si>
    <t>Forex Trading - Trading with the forks Andrews</t>
  </si>
  <si>
    <t>Maîtriser les chandeliers japonais en trading</t>
  </si>
  <si>
    <t>Mastering Japanese Candlestick Trading</t>
  </si>
  <si>
    <t>Le trading facile grâce à Heikin Ashi</t>
  </si>
  <si>
    <t>The easy trading with Heikin Ashi</t>
  </si>
  <si>
    <t>IT Operations</t>
  </si>
  <si>
    <t>Network &amp; Security</t>
  </si>
  <si>
    <t>Hacking Éthique : Le Cours Complet</t>
  </si>
  <si>
    <t>Hacking Ethics: The Complete Course</t>
  </si>
  <si>
    <t>IT Certifications</t>
  </si>
  <si>
    <t>AWS Certified Cloud Practitioner 2020 [dernière édition]</t>
  </si>
  <si>
    <t>AWS Cloud Certified Practitioner 2020. [last edition]</t>
  </si>
  <si>
    <t>Operating Systems &amp; Servers</t>
  </si>
  <si>
    <t>GNU/Linux de débutant à confirmé en quelques heures</t>
  </si>
  <si>
    <t>GNU / Linux beginner to advanced within hours</t>
  </si>
  <si>
    <t>CCNA1 : Apprenez à Devenir un Administrateur Réseau certifié</t>
  </si>
  <si>
    <t>CCNA1: Learn to Become a Certified Network Administrator</t>
  </si>
  <si>
    <t>Damien | Cisco | CCNA</t>
  </si>
  <si>
    <t>Sécurité sur Linux - Apprenez à sécuriser votre système</t>
  </si>
  <si>
    <t>Security on Linux - Learn how to secure your system</t>
  </si>
  <si>
    <t>PowerShell - Maitrisez les bases fondamentales</t>
  </si>
  <si>
    <t>PowerShell - Master the fundamentals</t>
  </si>
  <si>
    <t>Cloud Horizon</t>
  </si>
  <si>
    <t>Hacking Éthique : Apprendre à programmer en Python</t>
  </si>
  <si>
    <t>Ethical Hacking: Learn to program in Python</t>
  </si>
  <si>
    <t>Hacking Éthique : Sécurité des réseaux</t>
  </si>
  <si>
    <t>Ethical Hacking: Network security</t>
  </si>
  <si>
    <t>Apprenez linux par la pratique</t>
  </si>
  <si>
    <t>Learn linux through practice</t>
  </si>
  <si>
    <t>Eric Lalitte</t>
  </si>
  <si>
    <t>CCNA2 : Apprenez à Devenir un Administrateur Réseau certifié</t>
  </si>
  <si>
    <t>CCNA2: Learn to Become a Certified Network Administrator</t>
  </si>
  <si>
    <t>Amazon VPC (Virtual Private Cloud) - AWS</t>
  </si>
  <si>
    <t>L'essentiel du hacking éthique par la Pentest School</t>
  </si>
  <si>
    <t>Most of ethical hacking by Pentest School</t>
  </si>
  <si>
    <t>Pentest School</t>
  </si>
  <si>
    <t>Hacking Éthique : Tests d'intrusion et sécurité web</t>
  </si>
  <si>
    <t>Hacking Ethics: intrusion and web security tests</t>
  </si>
  <si>
    <t>CCNA3 : Apprenez à Devenir un Administrateur Réseau certifié</t>
  </si>
  <si>
    <t>CCNA3: Learn to Become a Certified Network Administrator</t>
  </si>
  <si>
    <t>CCNA5 : Apprenez à Devenir un Administrateur Réseau certifié</t>
  </si>
  <si>
    <t>CCNA5: Learn to Become a Certified Network Administrator</t>
  </si>
  <si>
    <t>CCNA7 : Entraînez vous à réussir l'examen Cisco CCNA 200-301</t>
  </si>
  <si>
    <t>CCNA7: Train you to pass the exam Cisco CCNA 200-301</t>
  </si>
  <si>
    <t>CCNA4 : Apprenez à Devenir un Administrateur Réseau certifié</t>
  </si>
  <si>
    <t>CCNA4: Learn to Become a Certified Network Administrator</t>
  </si>
  <si>
    <t>CompTIA A+:Apprenez à Devenir un Technicien Support Certifié</t>
  </si>
  <si>
    <t>CompTIA A +: Learn to Become a Certified Support Technician</t>
  </si>
  <si>
    <t>CCNA6 : Apprenez à Configurer comme un Administrateur Réseau</t>
  </si>
  <si>
    <t>CCNA6: Learn to Set up as a Network Administrator</t>
  </si>
  <si>
    <t>SQL Server pour les (grands) débutants, cours de 8 heures.</t>
  </si>
  <si>
    <t>SQL Server for (big) beginners course of 8 hours.</t>
  </si>
  <si>
    <t>O.Thuillier | SQL | Postgres | Powershell| MySQL | Administration,TSQL, et performance SQL Server.</t>
  </si>
  <si>
    <t>Tout savoir des réseaux informatiques en quelques heures.</t>
  </si>
  <si>
    <t>All about computer networks within hours.</t>
  </si>
  <si>
    <t>SAP-C01 AWS Solutions Architect Professional Certification</t>
  </si>
  <si>
    <t>Joseph Ekobo Kidou</t>
  </si>
  <si>
    <t>Database Administration</t>
  </si>
  <si>
    <t>Apprendre et maîtriser Microsoft ACCESS 2016</t>
  </si>
  <si>
    <t>Learn and master Microsoft ACCESS 2016</t>
  </si>
  <si>
    <t>LoRa et LoRaWAN pour l'Internet des Objets</t>
  </si>
  <si>
    <t>LoRa and lorawan for the Internet of Things</t>
  </si>
  <si>
    <t>Sylvain MONTAGNY</t>
  </si>
  <si>
    <t>Comment installer un LMS Open Source - Part 1</t>
  </si>
  <si>
    <t>How to install Open Source LMS - Part 1</t>
  </si>
  <si>
    <t>DarwinOS OpenSharing</t>
  </si>
  <si>
    <t>Comment installer un LMS Open Source - Part 2</t>
  </si>
  <si>
    <t>How to install Open Source LMS - Part 2</t>
  </si>
  <si>
    <t>Powershell pour les (grands) débutants (2021)</t>
  </si>
  <si>
    <t>Powershell for (large) Beginners (2021)</t>
  </si>
  <si>
    <t>Odoo V13 : Formation Ventes</t>
  </si>
  <si>
    <t>Odoo V13: Formation Ventes</t>
  </si>
  <si>
    <t>Y-Note Formation</t>
  </si>
  <si>
    <t>Hacking Éthique : Metasploit &amp; Exploits Zero-days</t>
  </si>
  <si>
    <t>Valery KONAN</t>
  </si>
  <si>
    <t>CompTIA A+: Entraînez vous à réussir l'examen 220-1002</t>
  </si>
  <si>
    <t>CompTIA A +: Train you to pass the exam 220-1002</t>
  </si>
  <si>
    <t>ITIL 4 Foundation Préparation Complète - Version Française</t>
  </si>
  <si>
    <t>4 ITIL Foundation Preparation Full - Version French</t>
  </si>
  <si>
    <t>G Education Inc.</t>
  </si>
  <si>
    <t>Leadership &amp; Management</t>
  </si>
  <si>
    <t>Management</t>
  </si>
  <si>
    <t>LeBonBoss: Comment manager une équipe? Leadership Management</t>
  </si>
  <si>
    <t>LeBonBoss: How to manage a team? leadership Management</t>
  </si>
  <si>
    <t>Antoine Marbach</t>
  </si>
  <si>
    <t>Communication</t>
  </si>
  <si>
    <t>Prendre la parole en public : structurez votre message</t>
  </si>
  <si>
    <t>Speaking in public: Structure your message</t>
  </si>
  <si>
    <t>Pascal Haumont</t>
  </si>
  <si>
    <t>Leadership</t>
  </si>
  <si>
    <t>Développez votre intelligence émotionnelle</t>
  </si>
  <si>
    <t>Develop your emotional intelligence</t>
  </si>
  <si>
    <t>Jamal Lazaar</t>
  </si>
  <si>
    <t>Comment gérer les conversations difficiles</t>
  </si>
  <si>
    <t>How to handle difficult conversations</t>
  </si>
  <si>
    <t>Manager votre équipe à distance ou en télétravail</t>
  </si>
  <si>
    <t>Manager your team remotely or telecommuting</t>
  </si>
  <si>
    <t>Leïla Hiret</t>
  </si>
  <si>
    <t>Communiquer efficacement avec la Process Com - G. Collignon</t>
  </si>
  <si>
    <t>Communicate effectively with the Process Communication - G. Collignon</t>
  </si>
  <si>
    <t>Weelearn : Regardez - Apprenez</t>
  </si>
  <si>
    <t>Conduite agile du changement : accompagner vos projets</t>
  </si>
  <si>
    <t>Agile Change Management: support your projects</t>
  </si>
  <si>
    <t>Strategy</t>
  </si>
  <si>
    <t>Design Thinking - Menez des projets innovants</t>
  </si>
  <si>
    <t>Design Thinking - Lead innovative projects</t>
  </si>
  <si>
    <t>Laurène Castor</t>
  </si>
  <si>
    <t>Leadership – devenez un leader inspirant</t>
  </si>
  <si>
    <t>Leadership - become an inspiring leader</t>
  </si>
  <si>
    <t>Communiquer efficacement grâce à la PNL</t>
  </si>
  <si>
    <t>Communicate effectively with NLP</t>
  </si>
  <si>
    <t>Comment donner et recevoir un feedback plus efficacement</t>
  </si>
  <si>
    <t>How to give and receive feedback more effectively</t>
  </si>
  <si>
    <t>Écoute active – Le guide complet</t>
  </si>
  <si>
    <t>Active Listening - The Complete Guide</t>
  </si>
  <si>
    <t>Design de présentation - Évitez la mort par PowerPoint</t>
  </si>
  <si>
    <t>Design Presentation - Avoid Death by PowerPoint</t>
  </si>
  <si>
    <t>Prise de parole en public – Le guide complet</t>
  </si>
  <si>
    <t>Taking public speaking - The Complete Guide</t>
  </si>
  <si>
    <t>Gestion des conflits avec confiance et élégance</t>
  </si>
  <si>
    <t>Conflict management with confidence and elegance</t>
  </si>
  <si>
    <t>Influence &amp; persuasion. Persuader et convaincre pour réussir</t>
  </si>
  <si>
    <t>Influence &amp; Persuasion. Persuade and convince to succeed</t>
  </si>
  <si>
    <t>Éliminez la peur de prise de parole en public</t>
  </si>
  <si>
    <t>Eliminate the fear of speaking in public</t>
  </si>
  <si>
    <t>Stratégie de prises de décisions : les succès de vos projets</t>
  </si>
  <si>
    <t>decision-making strategy: the success of your projects</t>
  </si>
  <si>
    <t>Maîtrisez la méthode du pitch Silicon Valley</t>
  </si>
  <si>
    <t>Master Silicon Valley Pitch method</t>
  </si>
  <si>
    <t>Hélène Grossetie</t>
  </si>
  <si>
    <t>L'art de questionner - Lionel Bellenger</t>
  </si>
  <si>
    <t>The art of questioning - Lionel Bellenger</t>
  </si>
  <si>
    <t>10 Techniques efficaces pour prendre de meilleures décisions</t>
  </si>
  <si>
    <t>10 Effective Techniques to make better decisions</t>
  </si>
  <si>
    <t>BUSINESS PLAN EXPRESS</t>
  </si>
  <si>
    <t>Ling-en Hsia</t>
  </si>
  <si>
    <t>Comment conduire des réunions toniques et utiles</t>
  </si>
  <si>
    <t>How to lead useful and tonic meetings</t>
  </si>
  <si>
    <t>Catherine Barbon</t>
  </si>
  <si>
    <t>Réussir votre transformation en devenant agent du changement</t>
  </si>
  <si>
    <t>A successful transformation into becoming an agent of change</t>
  </si>
  <si>
    <t>Benjamin Chaminade</t>
  </si>
  <si>
    <t>Définissez des objectifs en entreprise - Le guide complet</t>
  </si>
  <si>
    <t>Set business objectives - The Complete Guide</t>
  </si>
  <si>
    <t>Dirigez vos réunions efficacement</t>
  </si>
  <si>
    <t>Direct your meetings effectively</t>
  </si>
  <si>
    <t>Armelle NEBOIT</t>
  </si>
  <si>
    <t>Activer une nouvelle dynamique d'équipe</t>
  </si>
  <si>
    <t>Activating a new team dynamics</t>
  </si>
  <si>
    <t>Barbara Meyer</t>
  </si>
  <si>
    <t>Fondations du leadership</t>
  </si>
  <si>
    <t>Leadership Foundations</t>
  </si>
  <si>
    <t>Patrick OK</t>
  </si>
  <si>
    <t>Devenez Expert en Communication &amp; Management Interculturel</t>
  </si>
  <si>
    <t>Become Expert in Communication &amp; Intercultural Management</t>
  </si>
  <si>
    <t>Prendre la parole en public : jouez votre rôle avec talent</t>
  </si>
  <si>
    <t>Speaking in public: play your part with talent</t>
  </si>
  <si>
    <t>Leader Impact 3.0</t>
  </si>
  <si>
    <t>Dorian Martinez</t>
  </si>
  <si>
    <t>Devenir manager coach</t>
  </si>
  <si>
    <t>Become a coach manager</t>
  </si>
  <si>
    <t>Julien Giraud</t>
  </si>
  <si>
    <t>Storytelling pour actrices de changement</t>
  </si>
  <si>
    <t>Storytelling for Change actresses</t>
  </si>
  <si>
    <t>Edgravity Courses</t>
  </si>
  <si>
    <t>Guide complet du nouveau manager</t>
  </si>
  <si>
    <t>Complete guide of new manager</t>
  </si>
  <si>
    <t>Mrs KLOUZ</t>
  </si>
  <si>
    <t>Devenez un leader charismatique - Chilina Hills</t>
  </si>
  <si>
    <t>Become a charismatic leader - Chilina Hills</t>
  </si>
  <si>
    <t>L'intelligence émotionnelle</t>
  </si>
  <si>
    <t>Emotional intelligence</t>
  </si>
  <si>
    <t>Soufiane El Alaoui</t>
  </si>
  <si>
    <t>Stratégies Business Innovantes: Développez Votre Entreprise</t>
  </si>
  <si>
    <t>Innovative Business Strategies: Expand Your Business</t>
  </si>
  <si>
    <t>Pavel N. (France)</t>
  </si>
  <si>
    <t>Marketing</t>
  </si>
  <si>
    <t>Social Media Marketing</t>
  </si>
  <si>
    <t>Marketing Digital et Réseaux Sociaux : le Guide Complet</t>
  </si>
  <si>
    <t>Digital Marketing and Social Networks: The Complete Guide</t>
  </si>
  <si>
    <t>Digital Marketing</t>
  </si>
  <si>
    <t>Marketing Digital : les bases pour bien débuter</t>
  </si>
  <si>
    <t>Digital Marketing: the basics to start well</t>
  </si>
  <si>
    <t>Matthieu THOMAS</t>
  </si>
  <si>
    <t>Search Engine Optimization</t>
  </si>
  <si>
    <t>Le Guide complet du SEO — Le référencement naturel de A à Z</t>
  </si>
  <si>
    <t>The Complete Guide SEO - SEO The A to Z</t>
  </si>
  <si>
    <t>Alex Carmona</t>
  </si>
  <si>
    <t>Développer son trafic grâce au référencement naturel SEO</t>
  </si>
  <si>
    <t>Develop traffic through SEO SEO</t>
  </si>
  <si>
    <t>Guillaume Guersan</t>
  </si>
  <si>
    <t>Facebook Ads - Ciblage Laser</t>
  </si>
  <si>
    <t>Facebook Ads - Targeting Laser</t>
  </si>
  <si>
    <t>David Smalt</t>
  </si>
  <si>
    <t>Paid Advertising</t>
  </si>
  <si>
    <t>Google Ads (AdWords) - Guide Complet - Réseau de Recherche</t>
  </si>
  <si>
    <t>Google Ads (AdWords) - Complete Guide - Search Network</t>
  </si>
  <si>
    <t>Frederic Schauffler</t>
  </si>
  <si>
    <t>Publicité Google Ads &amp; Facebook Ads : le Guide Complet</t>
  </si>
  <si>
    <t>Advertising &amp; Google Ads Facebook Ads: The Complete Guide</t>
  </si>
  <si>
    <t>Marketing Analytics &amp; Automation</t>
  </si>
  <si>
    <t>Tout comprendre de Google Analytics et analyser son trafic !</t>
  </si>
  <si>
    <t>Any understanding of Google Analytics and analyze its traffic!</t>
  </si>
  <si>
    <t>Content Marketing</t>
  </si>
  <si>
    <t>Comment créer 60 articles par mois pour son site / blog</t>
  </si>
  <si>
    <t>How to create 60 articles per month to its site / blog</t>
  </si>
  <si>
    <t>Fabien Numelion</t>
  </si>
  <si>
    <t>Utiliser le marketing de contenu pour attirer des visiteurs</t>
  </si>
  <si>
    <t>Use content marketing to attract visitors</t>
  </si>
  <si>
    <t>Jérôme Gallez</t>
  </si>
  <si>
    <t>LINKEDIN POUR LES DÉBUTANTS (2021)</t>
  </si>
  <si>
    <t>LINKEDIN FOR BEGINNERS (2021)</t>
  </si>
  <si>
    <t>Guillaume Duhan</t>
  </si>
  <si>
    <t>Créer son podcast</t>
  </si>
  <si>
    <t>Create a Podcast</t>
  </si>
  <si>
    <t>Augmentez vos ventes grâce au Growth Hacking - Version 2020</t>
  </si>
  <si>
    <t>Increase sales through the Growth Hacking - Version 2020</t>
  </si>
  <si>
    <t>Frederic CANEVET</t>
  </si>
  <si>
    <t>Snapchat, maîtrise la publicité pour vendre avec ta boutique</t>
  </si>
  <si>
    <t>Snapchat, control advertising to sell with your shop</t>
  </si>
  <si>
    <t>BusinessDynamite Frank Houbre</t>
  </si>
  <si>
    <t>Google Tag Manager : la formation express</t>
  </si>
  <si>
    <t>Google Tag Manager: express training</t>
  </si>
  <si>
    <t>Augmentez le ROI de vos actions avec le Marketing Analytique</t>
  </si>
  <si>
    <t>Increase the ROI of your actions with Marketing Analytics</t>
  </si>
  <si>
    <t>Découverte de l'Inbound Marketing</t>
  </si>
  <si>
    <t>Discovery of Inbound Marketing</t>
  </si>
  <si>
    <t>Stéphane Viaud-Murat</t>
  </si>
  <si>
    <t>Video &amp; Mobile Marketing</t>
  </si>
  <si>
    <t>YOUTUBE : 21 hacks pour avoir plus de vues</t>
  </si>
  <si>
    <t>YOUTUBE: 21 hacks to get more views</t>
  </si>
  <si>
    <t>Augmentez vos ventes grâce au Marketing Automation</t>
  </si>
  <si>
    <t>Increase sales through Marketing Automation</t>
  </si>
  <si>
    <t>YouTube pour les débutants</t>
  </si>
  <si>
    <t>YouTube for beginners</t>
  </si>
  <si>
    <t>Marketing Strategy</t>
  </si>
  <si>
    <t>Comment attirer ton client idéal ?</t>
  </si>
  <si>
    <t>How to attract your ideal client?</t>
  </si>
  <si>
    <t>Sylvain Gillet</t>
  </si>
  <si>
    <t>Google My Business : Le Guide Complet pour bien démarrer</t>
  </si>
  <si>
    <t>Google My Business: The Complete Guide to get started</t>
  </si>
  <si>
    <t>Thomas Cubel</t>
  </si>
  <si>
    <t>Nouveau Facebook 2020 : le Guide Utile</t>
  </si>
  <si>
    <t>New Facebook 2020: Useful Guide</t>
  </si>
  <si>
    <t>Créez votre site web comme un pro du marketing</t>
  </si>
  <si>
    <t>Create your website like a marketing pro</t>
  </si>
  <si>
    <t>David Gos</t>
  </si>
  <si>
    <t>Guide complet ManyChat: créer un chatbot Facebook Messenger</t>
  </si>
  <si>
    <t>Complete guide ManyChat: create a chatbot Facebook Messenger</t>
  </si>
  <si>
    <t>Tony M</t>
  </si>
  <si>
    <t>Newsletter &amp; email marketing avec MailJet : le guide complet</t>
  </si>
  <si>
    <t>Newsletter &amp; email marketing with MailJet: the complete guide</t>
  </si>
  <si>
    <t>[2020] Le guide COMPLET du Growth Hacking pour cartonner</t>
  </si>
  <si>
    <t>[2020] The COMPLETE Guide Growth Hacking for cartoning</t>
  </si>
  <si>
    <t>Yannick Borgomano</t>
  </si>
  <si>
    <t>YouTube 2021 - Partir De Zéro et Créer une Chaîne à Succès</t>
  </si>
  <si>
    <t>YouTube 2021 - Starts Zero and Create a Chain Success</t>
  </si>
  <si>
    <t>Dorian Gaitan | YouTube | Marketing Digital</t>
  </si>
  <si>
    <t>Le marketing par chatbots: générer des ventes et prospects.</t>
  </si>
  <si>
    <t>The marketing chatbots: generate sales and leads.</t>
  </si>
  <si>
    <t>Identifiez les prospects qui seront fans de votre produit</t>
  </si>
  <si>
    <t>Identify prospects who are fans of your product</t>
  </si>
  <si>
    <t>David Licoppe</t>
  </si>
  <si>
    <t>Formation Tiktok complète pour professionnel et influenceur</t>
  </si>
  <si>
    <t>tiktok Complete Training for professional and influencer</t>
  </si>
  <si>
    <t>Alexandre PAUL</t>
  </si>
  <si>
    <t>Comment devenir un Expert TikTok en 2020</t>
  </si>
  <si>
    <t>Comment happening un Expert TikTok in 2020</t>
  </si>
  <si>
    <t>Edgar Foul</t>
  </si>
  <si>
    <t>Le Guide Ultime du marketing sur Pinterest en 2020</t>
  </si>
  <si>
    <t>The Ultimate Marketing Guide on Pinterest 2020</t>
  </si>
  <si>
    <t>Leo Sforza</t>
  </si>
  <si>
    <t>Office Productivity</t>
  </si>
  <si>
    <t>Spreadsheets</t>
  </si>
  <si>
    <t>Apprendre et Maîtriser Excel de A à Z</t>
  </si>
  <si>
    <t>Learning and Mastering Excel A to Z</t>
  </si>
  <si>
    <t>Apprendre les Macros et le langage VBA avec Excel</t>
  </si>
  <si>
    <t>Learning Macros and VBA Excel</t>
  </si>
  <si>
    <t>Excel : Macro - VBA</t>
  </si>
  <si>
    <t>Nabran Aboubacar</t>
  </si>
  <si>
    <t>Excel, les indispensables pour être productif !</t>
  </si>
  <si>
    <t>Excel, essential to be productive!</t>
  </si>
  <si>
    <t>Thomas Exceltips</t>
  </si>
  <si>
    <t>Presentations</t>
  </si>
  <si>
    <t>Apprendre et Maitriser POWER POINT 2019 - Guide complet</t>
  </si>
  <si>
    <t>Learning and Mastering POWER POINT 2019 - Complete Guide</t>
  </si>
  <si>
    <t>Création de Vidéos Animées avec Powerpoint</t>
  </si>
  <si>
    <t>Creating Animated videos with PowerPoint</t>
  </si>
  <si>
    <t>Excel Business Intelligence : Power Query Power Pivot &amp; DAX</t>
  </si>
  <si>
    <t>Email &amp; Productivity</t>
  </si>
  <si>
    <t>Microsoft Office 2019 de A à Z</t>
  </si>
  <si>
    <t>Microsoft Office 2019 from A to Z</t>
  </si>
  <si>
    <t>Exploiter pleinement la messagerie Gmail</t>
  </si>
  <si>
    <t>Fully exploit the Gmail</t>
  </si>
  <si>
    <t>Régis L'Hostis</t>
  </si>
  <si>
    <t>Google Sheets (l'alternative à Excel)</t>
  </si>
  <si>
    <t>Google Spreadsheets (the alternative to Excel)</t>
  </si>
  <si>
    <t>David Bournisien</t>
  </si>
  <si>
    <t>PowerPoint efficace : soyez visuel pour être impactant</t>
  </si>
  <si>
    <t>PowerPoint effective: be visual to be impacting</t>
  </si>
  <si>
    <t>Google Sheets : Les Fondamentaux</t>
  </si>
  <si>
    <t>Google Sheets: Fundamentals</t>
  </si>
  <si>
    <t>Excel, maîtrisez les compétences clés pour devenir expert !</t>
  </si>
  <si>
    <t>Excel, mastered the key skills to become an expert!</t>
  </si>
  <si>
    <t>Maxime Lienard</t>
  </si>
  <si>
    <t>Google Sheets : Fonctionnalités Avancées</t>
  </si>
  <si>
    <t>Google Sheets: Advanced Features</t>
  </si>
  <si>
    <t>Word Processing</t>
  </si>
  <si>
    <t>Apprenez à aimer Microsoft Word (Mac et PC)</t>
  </si>
  <si>
    <t>Learn to love Microsoft Word (Mac and PC)</t>
  </si>
  <si>
    <t>Cedric Cédric</t>
  </si>
  <si>
    <t>Excel : FONCTIONS DE RECHERCHE</t>
  </si>
  <si>
    <t>Excel: SEARCH FUNCTIONS</t>
  </si>
  <si>
    <t>Collaboration</t>
  </si>
  <si>
    <t>Maîtriser ses données avec Google Drive !</t>
  </si>
  <si>
    <t>Master your data with Google Drive!</t>
  </si>
  <si>
    <t>Excel - Astuces pratiques sur des grands Tableaux (listes)</t>
  </si>
  <si>
    <t>Excel - Practical Tips on large tables (lists)</t>
  </si>
  <si>
    <t>Amine SALIM</t>
  </si>
  <si>
    <t>PowerPoint pour les formatrices et formateurs</t>
  </si>
  <si>
    <t>PowerPoint for trainers</t>
  </si>
  <si>
    <t>Personal Development</t>
  </si>
  <si>
    <t>Language Learning</t>
  </si>
  <si>
    <t>French course beginner DELF A1 CEFRL official certificate</t>
  </si>
  <si>
    <t>Julien Bourdeau Professeur de français natif Certified French Native Teacher</t>
  </si>
  <si>
    <t>Cours d’anglais pour les professionnels - intermédiaire</t>
  </si>
  <si>
    <t>English courses for professionals - Intermediate</t>
  </si>
  <si>
    <t>Jennifer Glover</t>
  </si>
  <si>
    <t>Personal Growth</t>
  </si>
  <si>
    <t>Doublez votre productivité: gestion du temps &amp; concentration</t>
  </si>
  <si>
    <t>Double your productivity: time management &amp; concentration</t>
  </si>
  <si>
    <t>Cours d’anglais facile, pour apprendre l’anglais facilement!</t>
  </si>
  <si>
    <t>Course easy English, to learn English easily!</t>
  </si>
  <si>
    <t>Alain de Raymond</t>
  </si>
  <si>
    <t>BOOSTEZ VOTRE MÉMOIRE x10 : mémorisez tout plus facilement !</t>
  </si>
  <si>
    <t>BOOST YOUR MEMORY x10: memorize any easier!</t>
  </si>
  <si>
    <t>François Learning</t>
  </si>
  <si>
    <t>Doublez votre confiance et votre estime de vous-même</t>
  </si>
  <si>
    <t>Double your confidence and esteem of yourself</t>
  </si>
  <si>
    <t>Parler anglais comme un anglophone – Améliorer son accent</t>
  </si>
  <si>
    <t>Speak English as an English - Improve focus</t>
  </si>
  <si>
    <t>Devenez un(e) Praticien(ne) PNL certifié(e)</t>
  </si>
  <si>
    <t>Become a (an) Practitioner (do) certified NLP (e)</t>
  </si>
  <si>
    <t>Stress Management</t>
  </si>
  <si>
    <t>Gestion du Stress - Comment Gérer Votre Stress Efficacement</t>
  </si>
  <si>
    <t>Stress Management - How to Manage Your Stress Effectively</t>
  </si>
  <si>
    <t>Apprendre l'anglais : En finir avec les temps en 2h !</t>
  </si>
  <si>
    <t>Learning English: Out with the time in 2 hours!</t>
  </si>
  <si>
    <t>Célia Tassadit Zenna</t>
  </si>
  <si>
    <t>Gestion du temps et productivité à l'ère digitale</t>
  </si>
  <si>
    <t>Time management and productivity in the digital age</t>
  </si>
  <si>
    <t>Ivanne Poussier</t>
  </si>
  <si>
    <t>Osez la confiance en vous ! - David Laroche</t>
  </si>
  <si>
    <t>Dare to trust you! - David Laroche</t>
  </si>
  <si>
    <t>Health &amp; Fitness</t>
  </si>
  <si>
    <t>Programme Complet de Musculation, de Force et d'Endurance</t>
  </si>
  <si>
    <t>Full Program of Weight Training, Strength and Endurance</t>
  </si>
  <si>
    <t>Michigan Guillaume</t>
  </si>
  <si>
    <t>Yin Yoga : de raide à très souple en quelques semaines</t>
  </si>
  <si>
    <t>Yin Yoga: stiff to very flexible in weeks</t>
  </si>
  <si>
    <t>Ali Chahat</t>
  </si>
  <si>
    <t>Cours d’Espagnol pour Débutants</t>
  </si>
  <si>
    <t>Spanish for Beginners</t>
  </si>
  <si>
    <t>AbcEdu Online</t>
  </si>
  <si>
    <t>Life Skills</t>
  </si>
  <si>
    <t>La parentalité positive - Isabelle Filliozat</t>
  </si>
  <si>
    <t>Positive parenting - Isabelle Filliozat</t>
  </si>
  <si>
    <t>Expert en productivité : Gestion du temps &amp; Organisation</t>
  </si>
  <si>
    <t>Expert in productivity: Time Management &amp; Organization</t>
  </si>
  <si>
    <t>La Mindfulness : Méditation de Pleine Conscience</t>
  </si>
  <si>
    <t>Mindfulness Meditation Mindfulness</t>
  </si>
  <si>
    <t>Langage corporel pour la réussite et la confiance en soi</t>
  </si>
  <si>
    <t>Body language for success and self-confidence</t>
  </si>
  <si>
    <t>Méditation et mindfulness le guide complet</t>
  </si>
  <si>
    <t>Meditation and mindfulness the complete guide</t>
  </si>
  <si>
    <t>Comment gérer votre STRESS efficacement ?</t>
  </si>
  <si>
    <t>How to Manage Your Stress Effectively?</t>
  </si>
  <si>
    <t>David DELALU</t>
  </si>
  <si>
    <t>Arts &amp; Creativity</t>
  </si>
  <si>
    <t>Apprendre à coudre : c'est facile !</t>
  </si>
  <si>
    <t>Learning to sew: it's easy!</t>
  </si>
  <si>
    <t>Marie-Emilienne Viollet</t>
  </si>
  <si>
    <t>Cultivez votre bonheur grâce à la psychologie positive</t>
  </si>
  <si>
    <t>Cultivate your happiness through positive psychology</t>
  </si>
  <si>
    <t>Le temps, une ressource précieuse - Barbara Meyer</t>
  </si>
  <si>
    <t>The time, a precious resource - Barbara Meyer</t>
  </si>
  <si>
    <t>Gestion des émotions</t>
  </si>
  <si>
    <t>Managing emotions</t>
  </si>
  <si>
    <t>Aurore Bévalot</t>
  </si>
  <si>
    <t>Langage corporel : les clés pour l'analyser &amp; le comprendre</t>
  </si>
  <si>
    <t>Body language: the key to analyze &amp; understand</t>
  </si>
  <si>
    <t>FORMATION KRITA</t>
  </si>
  <si>
    <t>Formation crucial</t>
  </si>
  <si>
    <t>Parler anglais comme un anglophone – Speak English Better</t>
  </si>
  <si>
    <t>Speaking English as an English - Speak Better English</t>
  </si>
  <si>
    <t>L'analyse transactionnelle - Isabelle Constant</t>
  </si>
  <si>
    <t>Transactional Analysis - Isabelle Constant</t>
  </si>
  <si>
    <t>L'enfant surdoué - Jeanne SIAUD-FACCHIN</t>
  </si>
  <si>
    <t>The gifted child - Jeanne-SIAUD FACCHIN</t>
  </si>
  <si>
    <t>Production Musicale avec Logic Pro X : le guide complet</t>
  </si>
  <si>
    <t>Music Production with Logic Pro X: The Complete Guide</t>
  </si>
  <si>
    <t>Vincent Retg</t>
  </si>
  <si>
    <t>Cours d'Anglais pour Débutants</t>
  </si>
  <si>
    <t>English Course for Beginners</t>
  </si>
  <si>
    <t>GarageBand iOS : le guide complet</t>
  </si>
  <si>
    <t>GarageBand iOS: the complete guide</t>
  </si>
  <si>
    <t>LA RECETTE pour réussir vos entretiens d'embauche</t>
  </si>
  <si>
    <t>RECIPE for successful job interviews</t>
  </si>
  <si>
    <t>The next Job</t>
  </si>
  <si>
    <t>L'affirmation de soi - Charly Cungi</t>
  </si>
  <si>
    <t>The affirmation de soi - Charly Cungi</t>
  </si>
  <si>
    <t>Apprendre à coudre pour vos enfants : c'est facile !</t>
  </si>
  <si>
    <t>Learning to sew for your children: it's easy!</t>
  </si>
  <si>
    <t>Devenir papa, pour la première fois!</t>
  </si>
  <si>
    <t>Becoming a dad for the first time!</t>
  </si>
  <si>
    <t>Tonton Matthieu</t>
  </si>
  <si>
    <t>Cours d’Italien pour Débutants</t>
  </si>
  <si>
    <t>Italian course for Beginners</t>
  </si>
  <si>
    <t>Cours du Oud complet - de A à Z</t>
  </si>
  <si>
    <t>During the full Oud - A to Z</t>
  </si>
  <si>
    <t>Ihab Radwan</t>
  </si>
  <si>
    <t>Améliorez votre tennis aux côtés du champion Andre Agassi</t>
  </si>
  <si>
    <t>Improve alongside tennis champion Andre Agassi</t>
  </si>
  <si>
    <t>Andre Agassi</t>
  </si>
  <si>
    <t>Le Mind Mapping avec XMIND Zen</t>
  </si>
  <si>
    <t>Mind mapping with XMIND Zen</t>
  </si>
  <si>
    <t>Maîtrisez votre DSLR et Mirrorless en mode vidéo</t>
  </si>
  <si>
    <t>Control your DSLR and video mode Mirrorless</t>
  </si>
  <si>
    <t>Bernard Bertrand</t>
  </si>
  <si>
    <t>Cinéma/vidéo : Filmer de façon professionnelle</t>
  </si>
  <si>
    <t>Film / Video: Filming professionally</t>
  </si>
  <si>
    <t>Filmer en vidéo : Améliorez la qualité de vos images</t>
  </si>
  <si>
    <t>Filming on video: Improve the quality of your photographs</t>
  </si>
  <si>
    <t>Wilfried Vial</t>
  </si>
  <si>
    <t>Masterclass - Production musicale sur FL Studio 20</t>
  </si>
  <si>
    <t>Masterclass - Music Production on FL Studio 20</t>
  </si>
  <si>
    <t>Ugo Galamba</t>
  </si>
  <si>
    <t>Photographie : Sublimez vos photos avec Adobe Lightroom 2020</t>
  </si>
  <si>
    <t>Photography: Enhance your photos with Adobe Lightroom 2020</t>
  </si>
  <si>
    <t>Arthur DEFOIN</t>
  </si>
  <si>
    <t>Créer sa musique avec GarageBand : le guide complet</t>
  </si>
  <si>
    <t>Make music with GarageBand: the complete guide</t>
  </si>
  <si>
    <t>Project Management &amp; Operations</t>
  </si>
  <si>
    <t>Agile &amp; Scrum</t>
  </si>
  <si>
    <t>Gestion de projet Agile - La méthode SCRUM</t>
  </si>
  <si>
    <t>Project Management Agile - Scrum method</t>
  </si>
  <si>
    <t>SCRUM et le best-of des méthodes agiles de gestion de projet</t>
  </si>
  <si>
    <t>SCRUM and best-of Agile Project Management</t>
  </si>
  <si>
    <t>Project Management Fundamentals</t>
  </si>
  <si>
    <t>Gestion de projet : devenez un chef de projet performant</t>
  </si>
  <si>
    <t>Project Management: become an effective project manager</t>
  </si>
  <si>
    <t>Project Management Certifications</t>
  </si>
  <si>
    <t>Préparation à la Certification PMP® 6</t>
  </si>
  <si>
    <t>Preparation for PMP Certification 6</t>
  </si>
  <si>
    <t>Marc-Noël FAUVEL</t>
  </si>
  <si>
    <t>Project Management Tools</t>
  </si>
  <si>
    <t>Planifier correctement un projet avec Microsoft Project</t>
  </si>
  <si>
    <t>properly plan a project with Microsoft Project</t>
  </si>
  <si>
    <t>Operations Management</t>
  </si>
  <si>
    <t>Lean Six Sigma certification ceinture blanche</t>
  </si>
  <si>
    <t>Lean Six Sigma White Belt Certification</t>
  </si>
  <si>
    <t>Sarah Bonneau</t>
  </si>
  <si>
    <t>Agile, lean, les clés pour transformer votre entreprise</t>
  </si>
  <si>
    <t>Agile, Lean, key to transform your business</t>
  </si>
  <si>
    <t>albert académie</t>
  </si>
  <si>
    <t>Révélez le chef de projet qui sommeille en vous !</t>
  </si>
  <si>
    <t>Reveal the project manager in you!</t>
  </si>
  <si>
    <t>Jean-François Vivian</t>
  </si>
  <si>
    <t>Les fondamentaux Agile, Scrum et Kanban</t>
  </si>
  <si>
    <t>The fundamental Agile, Scrum and Kanban</t>
  </si>
  <si>
    <t>Imane Khalikane</t>
  </si>
  <si>
    <t>ISO 9001 Version 2015 : La maîtrise</t>
  </si>
  <si>
    <t>ISO 9001 Version 2015: Mastering</t>
  </si>
  <si>
    <t>Abdellah HAMDOUNE</t>
  </si>
  <si>
    <t>Sales</t>
  </si>
  <si>
    <t>Sales Skills &amp; Tools</t>
  </si>
  <si>
    <t>Négociation - Le guide complet</t>
  </si>
  <si>
    <t>Negotiation - The Complete Guide</t>
  </si>
  <si>
    <t>Les clés de l’entretien de vente efficace</t>
  </si>
  <si>
    <t>The keys to effective sales maintenance</t>
  </si>
  <si>
    <t>Apprenez à prospecter sur Linkedin en 15 minutes / jour !</t>
  </si>
  <si>
    <t>Learn how to prospect on Linkedin in 15 minutes / day!</t>
  </si>
  <si>
    <t>Comment réussir à vendre? De zéro à Pro!</t>
  </si>
  <si>
    <t>How to successfully sell? Zero to Pro!</t>
  </si>
  <si>
    <t>Customer Service</t>
  </si>
  <si>
    <t>Service clients, le guide complet pour des clients heureux</t>
  </si>
  <si>
    <t>Customer service, the complete guide to happy customers</t>
  </si>
  <si>
    <t>Marilène St-Cyr</t>
  </si>
  <si>
    <t>Les ventes, planifiez-les et augmentez vos revenus !</t>
  </si>
  <si>
    <t>Sales, schedule them and increase your income!</t>
  </si>
  <si>
    <t>Workplace &amp; Human Resources</t>
  </si>
  <si>
    <t>Compliance</t>
  </si>
  <si>
    <t>Identifier, reconnaître et gérer les biais inconscients</t>
  </si>
  <si>
    <t>Identify, recognize and manage unconscious bias</t>
  </si>
  <si>
    <t>Talent Management</t>
  </si>
  <si>
    <t>Réussir le recrutement et l'intégration des collaborateurs</t>
  </si>
  <si>
    <t>Successful recruitment and integration of employees</t>
  </si>
  <si>
    <r>
      <rPr>
        <b/>
        <sz val="12"/>
        <color rgb="FFFFFFFF"/>
        <rFont val="arial,sans,sans-serif"/>
      </rPr>
      <t xml:space="preserve">List of International Collection courses in </t>
    </r>
    <r>
      <rPr>
        <b/>
        <u/>
        <sz val="12"/>
        <color rgb="FFFFFFFF"/>
        <rFont val="arial,sans,sans-serif"/>
      </rPr>
      <t>German</t>
    </r>
  </si>
  <si>
    <t>Total courses: 507</t>
  </si>
  <si>
    <t>AWS – Ihr Weg zum zertifizierten Amazon Solutions Architekt</t>
  </si>
  <si>
    <t>AWS - How to become a certified Amazon Solutions Architect</t>
  </si>
  <si>
    <t>René Fürst</t>
  </si>
  <si>
    <t>Nextcloud – Installieren, Einrichten &amp; Anwenden mit Ubuntu</t>
  </si>
  <si>
    <t>Next Cloud - installing, setting up and applying with Ubuntu</t>
  </si>
  <si>
    <t>Perfekte Dropbox-Alternative mit ownCloud installieren</t>
  </si>
  <si>
    <t>Install Dropbox perfect alternative with ownCloud</t>
  </si>
  <si>
    <t>Python Bootcamp: Vom Anfänger zum Profi, inkl. Data Science</t>
  </si>
  <si>
    <t>Python Boot Camp: From beginners to professionals, including data science.</t>
  </si>
  <si>
    <t>Jannis Seemann</t>
  </si>
  <si>
    <t>Microsoft Power BI – Die vollständige Einführung von A-Z</t>
  </si>
  <si>
    <t>Microsoft Power BI - The full introduction of A-Z</t>
  </si>
  <si>
    <t>Nikolai Schuler</t>
  </si>
  <si>
    <t>Python: Data Science, Machine Learning &amp; Neuronale Netze</t>
  </si>
  <si>
    <t>Python: data science, machine learning and neural networks</t>
  </si>
  <si>
    <t>Jannis Seemann (CodingCourses.TV)</t>
  </si>
  <si>
    <t>Apache Kafka: Real-Time Streaming für Big Data</t>
  </si>
  <si>
    <t>Apache Kafka: Real-Time Streaming Big Data</t>
  </si>
  <si>
    <t>Dr. René Brunner</t>
  </si>
  <si>
    <t>Die komplette SQL Masterclass: Vom Anfänger zum Profi</t>
  </si>
  <si>
    <t>The complete SQL Master Class: Beginner to Professional</t>
  </si>
  <si>
    <t>SQL lernen, schnell und einfach</t>
  </si>
  <si>
    <t>SQL learn quickly and easily</t>
  </si>
  <si>
    <t>Marco Eder</t>
  </si>
  <si>
    <t>Machine Learning Komplettkurs mit Python inkl. AI Einführung</t>
  </si>
  <si>
    <t>Machine Learning Complete Course with Python incl. AI Introduction</t>
  </si>
  <si>
    <t>Jan Schaffranek</t>
  </si>
  <si>
    <t>Machine Learning von A-Z: Lerne Python &amp; R für Data Science!</t>
  </si>
  <si>
    <t>Machine Learning A-Z: Learn Python &amp; R for data science!</t>
  </si>
  <si>
    <t>Deep Learning, Neuronale Netze &amp; AI: Der Komplettkurs</t>
  </si>
  <si>
    <t>Deep Learning, Neural Networks &amp; AI: The Complete Course</t>
  </si>
  <si>
    <t>Artificial Intelligence und Reinforcement Learning in Python</t>
  </si>
  <si>
    <t>SQL - Bootcamp: Lerne MySQL in 2 Wochen</t>
  </si>
  <si>
    <t>SQL - Boot Camp: Learn MySQL in 2 weeks</t>
  </si>
  <si>
    <t>Statistik für Data Science und Business Analytics</t>
  </si>
  <si>
    <t>Statistics for data science and business analytics</t>
  </si>
  <si>
    <t>Einführung in Berechnungen mit Microsoft Power BI Desktop</t>
  </si>
  <si>
    <t>Introduction to calculations using Microsoft Power BI Desktop</t>
  </si>
  <si>
    <t>Dan We</t>
  </si>
  <si>
    <t>Data Science, Apache Spark &amp; Python: Analysiere echte Daten!</t>
  </si>
  <si>
    <t>Data Science, Apache Spark &amp; ​​Python: Analyze real data!</t>
  </si>
  <si>
    <t>Deep Learning, Neuronale Netze und TensorFlow 2 in Python</t>
  </si>
  <si>
    <t>Deep Learning, Neural Networks and TensorFlow 2 in Python</t>
  </si>
  <si>
    <t>Python-Entwicklung für Einsteiger</t>
  </si>
  <si>
    <t>Python development for beginners</t>
  </si>
  <si>
    <t>Jan Brinkmann</t>
  </si>
  <si>
    <t>Deep Learning verstehen: Entwickle Neuronale Netze in Python</t>
  </si>
  <si>
    <t>Deep Learning understand: Develop Neural Networks in Python</t>
  </si>
  <si>
    <t>Visualisiere Daten mit Python - auch für Anfänger!</t>
  </si>
  <si>
    <t>Visualize data with Python - even for beginners!</t>
  </si>
  <si>
    <t>Tableau 2020: Visualisierungen und Analysen mit Tableau</t>
  </si>
  <si>
    <t>Tableau 2020: visualization and analysis with panel</t>
  </si>
  <si>
    <t>Der große Deep Learning Kurs mit Keras und TensorFlow 2</t>
  </si>
  <si>
    <t>The great Deep Learning Course with Keras and TensorFlow 2</t>
  </si>
  <si>
    <t>R für Data Science, Visualisierung und Machine Learning</t>
  </si>
  <si>
    <t>R for data science, visualization and machine learning</t>
  </si>
  <si>
    <t>Dash - Interaktive Python Visualisierungen für Data Science</t>
  </si>
  <si>
    <t>Dash - Interactive Python visualizations for data science</t>
  </si>
  <si>
    <t>MySQL - vom Anfänger zum Experten</t>
  </si>
  <si>
    <t>MySQL - from novice to expert</t>
  </si>
  <si>
    <t>Karsten Brodmann</t>
  </si>
  <si>
    <t>R komplett: Data Science, Machine Learning &amp; Neuronale Netze</t>
  </si>
  <si>
    <t>R complete: data science, machine learning and neural networks</t>
  </si>
  <si>
    <t>Das komplette Data Science Bootcamp 2021 in Python</t>
  </si>
  <si>
    <t>The complete data science Boot Camp 2021 in Python</t>
  </si>
  <si>
    <t>365 Careers</t>
  </si>
  <si>
    <t>Deep Learning: Generative Neuronale Netzwerke mit Python</t>
  </si>
  <si>
    <t>Deep Learning: Generative Neural networks with Python</t>
  </si>
  <si>
    <t>Das SQL Grundlagen Bootcamp (auch für Data Science)</t>
  </si>
  <si>
    <t>The SQL Fundamentals Boot Camp (for data science)</t>
  </si>
  <si>
    <t>Statistical Analysis</t>
  </si>
  <si>
    <t>Statistik mit IBM SPSS Statistics</t>
  </si>
  <si>
    <t>Statistics with SPSS Statistics</t>
  </si>
  <si>
    <t>Dr. Dominik FRÖHLICH</t>
  </si>
  <si>
    <t>Einführung Statistik und Wahrscheinlichkeitsrechnung</t>
  </si>
  <si>
    <t>Introduction statistics and probability</t>
  </si>
  <si>
    <t>Peter Lehe</t>
  </si>
  <si>
    <t>Tableau 10: Visuelle Datenanalyse für die Data Science</t>
  </si>
  <si>
    <t>Tableau 10: Visual data analysis for data science</t>
  </si>
  <si>
    <t>Integralrechnung</t>
  </si>
  <si>
    <t>integral calculus</t>
  </si>
  <si>
    <t>Deep Learning: Neuronale Netze mit TensorFlow 2.0 und Keras</t>
  </si>
  <si>
    <t>Deep Learning: Neural Networks with TensorFlow 2.0 and Keras</t>
  </si>
  <si>
    <t>Saif Al-Dilaimi</t>
  </si>
  <si>
    <t>Statistik mit R</t>
  </si>
  <si>
    <t>Statistics my R</t>
  </si>
  <si>
    <t>Microsoft SSAS (Deutsch) - Cube-Erstellung + PowerBI Zugriff</t>
  </si>
  <si>
    <t>Microsoft SSAS (German) - cube creation + PowerBI access</t>
  </si>
  <si>
    <t>Steffen Weiler</t>
  </si>
  <si>
    <t>Grenzwerte von Funktionen</t>
  </si>
  <si>
    <t>Limits of functions</t>
  </si>
  <si>
    <t>Statistik mit PSPP/PSPPIRE</t>
  </si>
  <si>
    <t>Statistics with PSPP / PSPPIRE</t>
  </si>
  <si>
    <t>Adobe Photoshop CC Masterclass — Vom Einsteiger zum Profi</t>
  </si>
  <si>
    <t>Adobe Photoshop CC Master Class - From beginners to professionals</t>
  </si>
  <si>
    <t>Justus Zeemann</t>
  </si>
  <si>
    <t>User Experience &amp; User Interface Design von A-Z mit Adobe XD</t>
  </si>
  <si>
    <t>User Experience &amp; user interface design from A to Z with Adobe XD</t>
  </si>
  <si>
    <t>Timothy Meixner</t>
  </si>
  <si>
    <t>Procreate Handbuch</t>
  </si>
  <si>
    <t>procreate manual</t>
  </si>
  <si>
    <t>Ludmila Blum</t>
  </si>
  <si>
    <t>Das ultimative 4 in 1 Webdesigner- &amp; Webentwickler-Bootcamp!</t>
  </si>
  <si>
    <t>The ultimate 4 in 1 Webdesigner- &amp; Web Developer Boot Camp!</t>
  </si>
  <si>
    <t>Laith Wahab</t>
  </si>
  <si>
    <t>Adobe Lightroom: Alles komplett von A bis Z inkl. Plugins</t>
  </si>
  <si>
    <t>Adobe Lightroom: Everything complete A to Z including plugins.</t>
  </si>
  <si>
    <t>Adobe Illustrator CC Masterclass — Vom Anfänger zum Profi</t>
  </si>
  <si>
    <t>Adobe Illustrator CC Master Class - Beginner to Professional</t>
  </si>
  <si>
    <t>Autodesk FUSION 360 für Einsteiger</t>
  </si>
  <si>
    <t>Autodesk FUSION 360 for beginners</t>
  </si>
  <si>
    <t>Christian Schlieder</t>
  </si>
  <si>
    <t>Der komplette Blender Kurs - Erstelle hochwertige 3D Modelle</t>
  </si>
  <si>
    <t>The complete Blender course - Create high quality 3D models</t>
  </si>
  <si>
    <t>Jannick Leismann</t>
  </si>
  <si>
    <t>Photoshop Grundlagen - Grundkurs für jeden Einsteiger</t>
  </si>
  <si>
    <t>Photoshop Basics - Basic course for each entry</t>
  </si>
  <si>
    <t>Andrey Isotov</t>
  </si>
  <si>
    <t>Fusion 360: Schneller Einstieg in die CAD Konstruktion</t>
  </si>
  <si>
    <t>Fusion 360: Quick Start to CAD construction</t>
  </si>
  <si>
    <t>Matthias Ruhe</t>
  </si>
  <si>
    <t>Logodesign und Typografie in Illustrator</t>
  </si>
  <si>
    <t>Logo design and typography in Illustrator</t>
  </si>
  <si>
    <t>Christin Stapff</t>
  </si>
  <si>
    <t>Professionelle Video-Produktion mit Smartphone und Kamera</t>
  </si>
  <si>
    <t>Professional video production with smartphone and camera</t>
  </si>
  <si>
    <t>Felix Lemloh</t>
  </si>
  <si>
    <t>Der Einstieg in Adobe XD - Lerne Experience Design</t>
  </si>
  <si>
    <t>Getting into Adobe XD - Learn Experience Design</t>
  </si>
  <si>
    <t>Kai Pruin</t>
  </si>
  <si>
    <t>Affinity Publisher - Der Schnelleinstieg</t>
  </si>
  <si>
    <t>Affinity Publisher - The Rapid Way</t>
  </si>
  <si>
    <t>Christopher Ziegler</t>
  </si>
  <si>
    <t>Adobe Lightroom: Die Komplette Adobe Lightroom Masterclass</t>
  </si>
  <si>
    <t>Adobe Lightroom: The komplette Adobe Lightroom Masterclass</t>
  </si>
  <si>
    <t>Adobe Premiere Pro CC: Vom Anfänger zum Fortgeschrittenen!</t>
  </si>
  <si>
    <t>Adobe Premiere Pro CC: From beginner to advanced!</t>
  </si>
  <si>
    <t>Canva für Nicht-Designer: Ansprechende Grafiken erstellen</t>
  </si>
  <si>
    <t>Create Appealing graphics: Canva for non-designers</t>
  </si>
  <si>
    <t>Florian Lapiz</t>
  </si>
  <si>
    <t>Elementor Praxis Kurs - Der Nr. 1 WordPress Page Builder</t>
  </si>
  <si>
    <t>Elementor Practice Course - The # 1 WordPress Page Builder.</t>
  </si>
  <si>
    <t>Danijel Rose</t>
  </si>
  <si>
    <t>iMovie Deutsch</t>
  </si>
  <si>
    <t>Steffen Bendix</t>
  </si>
  <si>
    <t>Adobe After Effects CC Masterclass — Vom Anfänger zum Profi</t>
  </si>
  <si>
    <t>Adobe After Effects CC Master Class - Beginner to Professional</t>
  </si>
  <si>
    <t>Final Cut Pro X Deutsch</t>
  </si>
  <si>
    <t>Photoshop Werkzeuge leicht gemacht</t>
  </si>
  <si>
    <t>made Photoshop tools easily</t>
  </si>
  <si>
    <t>Pavel Kaplun</t>
  </si>
  <si>
    <t>Adobe XD Einfach &amp; Komplett: Der große UI-/UX-Praxis-Kurs</t>
  </si>
  <si>
    <t>Adobe XD Simple &amp; Complete: The great UI / UX Practice Course</t>
  </si>
  <si>
    <t>Grafik Design Masterclass: Ein reales Projekt von A bis Z!</t>
  </si>
  <si>
    <t>Graphic Design Master Class: A real project from A to Z!</t>
  </si>
  <si>
    <t>Alexander Metzler</t>
  </si>
  <si>
    <t>Adobe InDesign CC – InDesign Meisterkurs Anfänger bis Profi</t>
  </si>
  <si>
    <t>Adobe InDesign CC - InDesign masterclass beginner to professional</t>
  </si>
  <si>
    <t>Malin Liv Günther</t>
  </si>
  <si>
    <t>Adobe Design Bootcamp -Photoshop, Illustrator und InDesign!</t>
  </si>
  <si>
    <t>Adobe Design Bootcamp -Photoshop, Illustrator and InDesign!</t>
  </si>
  <si>
    <t>Adobe Lightroom CC Meisterkurs: Der Komplette Lightroom Kurs</t>
  </si>
  <si>
    <t>Adobe Lightroom CC Master Class: The Complete Course Lightroom</t>
  </si>
  <si>
    <t>Adobe Academy</t>
  </si>
  <si>
    <t>Premiere Pro für Anfänger - Videoschnitt mit Adobe Premiere</t>
  </si>
  <si>
    <t>Premiere Pro for Beginners - Video Editing with Adobe Premiere</t>
  </si>
  <si>
    <t>Learnext DE</t>
  </si>
  <si>
    <t>⭐️WordPress Masterclass! Vom Anfänger zum Profi in 5 Stunden</t>
  </si>
  <si>
    <t>⭐️WordPress Master Class! From novice to pro in 5 hours</t>
  </si>
  <si>
    <t>Alexander Hammerschmied</t>
  </si>
  <si>
    <t>Lerne Adobe Premiere Pro in 150 Minuten!</t>
  </si>
  <si>
    <t>Learn Adobe Premiere Pro in 150 minutes!</t>
  </si>
  <si>
    <t>Nicolai Blume</t>
  </si>
  <si>
    <t>Responsive Websites mit Dreamweaver und Bootstrap</t>
  </si>
  <si>
    <t>Responsive websites using Dreamweaver and Bootstrap</t>
  </si>
  <si>
    <t>Andreas Stocker</t>
  </si>
  <si>
    <t>Autodesk Inventor 2019 - Grundlagenkurs</t>
  </si>
  <si>
    <t>Autodesk Inventor 2019 - Basis Rate</t>
  </si>
  <si>
    <t>Unreal Engine 4 Blueprint Programmierung</t>
  </si>
  <si>
    <t>Unreal Engine 4 Blueprint programming</t>
  </si>
  <si>
    <t>Andreas Fülscher</t>
  </si>
  <si>
    <t>Der Unity 2017 &amp; Blender Komplettkurs: Erstelle Top 3D Games</t>
  </si>
  <si>
    <t>The Unity 2017 &amp; Blender Complete Course: Create Top 3D Games</t>
  </si>
  <si>
    <t>Denis Panjuta</t>
  </si>
  <si>
    <t>Auf dem neuesten Stand in 3D (bis 2015)</t>
  </si>
  <si>
    <t>To date in 3D (2015)</t>
  </si>
  <si>
    <t>Adobe Photoshop CC: Der große Webdesign-Praxis Kurs!</t>
  </si>
  <si>
    <t>Adobe Photoshop CC: The big web design practical course!</t>
  </si>
  <si>
    <t>Adobe Photoshop 2020 CC für Angestellte und Unternehmen</t>
  </si>
  <si>
    <t>Adobe Photoshop CC 2020 for employees and companies</t>
  </si>
  <si>
    <t>Adobe Illustrator CC - Der große &amp; einfache Praxis-Kurs.</t>
  </si>
  <si>
    <t>Adobe Illustrator CC - The Great &amp; simple practice course.</t>
  </si>
  <si>
    <t>Grundlagen und Projektbearbeitung mit AutoCAD</t>
  </si>
  <si>
    <t>Basics and project processing with AutoCAD</t>
  </si>
  <si>
    <t>Marko Frass</t>
  </si>
  <si>
    <t>Apple Motion für Einsteiger (Deutsch)</t>
  </si>
  <si>
    <t>Apple Motion for beginners (German)</t>
  </si>
  <si>
    <t>Autodesk Inventor 2020 + 2021 Grundlagenkurs</t>
  </si>
  <si>
    <t>Autodesk Inventor 2020 + 2021 Basis Rate</t>
  </si>
  <si>
    <t>Masterclass Redshift Cinema 4D (Update Nov. 2020)</t>
  </si>
  <si>
    <t>Professionell visualisieren mit Redshift in Cinema 4D</t>
  </si>
  <si>
    <t>Professionally visualize Redshift in Cinema 4D</t>
  </si>
  <si>
    <t>Zbrush Power Workshops (deutsch)</t>
  </si>
  <si>
    <t>rs maxdesign</t>
  </si>
  <si>
    <t>Apple Final Cut Pro X - Videos schneiden lernen in FCPX</t>
  </si>
  <si>
    <t>Apple Final Cut Pro X - get cut video in FCPX</t>
  </si>
  <si>
    <t>Jannis Riebschläger</t>
  </si>
  <si>
    <t>Spring Boot</t>
  </si>
  <si>
    <t>Christian Trutz</t>
  </si>
  <si>
    <t>Java leicht gemacht - Der umfassende Java Einsteigerkurs A-Z</t>
  </si>
  <si>
    <t>Java Made Easy - The comprehensive Java beginners course A-Z</t>
  </si>
  <si>
    <t>Christian Gesty</t>
  </si>
  <si>
    <t>Docker Grundlagen (mit Docker Compose und Swarm)</t>
  </si>
  <si>
    <t>Docker basics (with Docker Compose and Swarm)</t>
  </si>
  <si>
    <t>Die komplette JavaScript Masterclass: Vom Anfänger zum Profi</t>
  </si>
  <si>
    <t>The complete JavaScript Master Class: Beginner to Professional</t>
  </si>
  <si>
    <t>Python Bootcamp: Der Einstiegskurs</t>
  </si>
  <si>
    <t>Python Bootcamp: The entry price</t>
  </si>
  <si>
    <t>Git Grundlagen (mit GitHub)</t>
  </si>
  <si>
    <t>Git basics (with GitHub)</t>
  </si>
  <si>
    <t>Die komplette C# Masterclass - von 0 auf 100 in 6 Wochen</t>
  </si>
  <si>
    <t>The complete C # master class - from 0 to 100 in 6 weeks</t>
  </si>
  <si>
    <t>Der ultimative HTML5 und CSS3 Komplettkurs</t>
  </si>
  <si>
    <t>The ultimate HTML5 and CSS3 Complete Course</t>
  </si>
  <si>
    <t>Ruben Winkler</t>
  </si>
  <si>
    <t>Docker Bootcamp - vom Anfänger zum Profi</t>
  </si>
  <si>
    <t>Docker Bootcamp - from beginner to professional</t>
  </si>
  <si>
    <t>Cedric Mössner</t>
  </si>
  <si>
    <t>Git - Versionsverwaltung für Einsteiger</t>
  </si>
  <si>
    <t>Git - version control for beginners</t>
  </si>
  <si>
    <t>Florian Wittmann</t>
  </si>
  <si>
    <t>SAP ABAP für Anfänger 1: Programmieren lernen im SAP</t>
  </si>
  <si>
    <t>SAP ABAP for beginners 1: Learn programming in SAP</t>
  </si>
  <si>
    <t>- Skillcoach -</t>
  </si>
  <si>
    <t>Die komplette Unity &amp; C# Masterclass - Entwickle 5 Spiele</t>
  </si>
  <si>
    <t>The complete Unity &amp; C # master class - Develop 5 Games</t>
  </si>
  <si>
    <t>Fortgeschrittene Python Programmierung</t>
  </si>
  <si>
    <t>Advanced Python Programming</t>
  </si>
  <si>
    <t>Angular (2+) verstehen und anwenden</t>
  </si>
  <si>
    <t>Angular (2+) understand and apply</t>
  </si>
  <si>
    <t>Maximilian Schwarzmüller</t>
  </si>
  <si>
    <t>C++ Komplettkurs: Praxisnahe und Moderne C++ Programmierung</t>
  </si>
  <si>
    <t>C ++ Complete Course: Practical and Modern C ++ Programming</t>
  </si>
  <si>
    <t>Der komplette Web-Entwickler Kurs 2.0 -Erstelle 25 Webseiten</t>
  </si>
  <si>
    <t>The complete web developer Course 2.0 -Erstelle 25 Websites</t>
  </si>
  <si>
    <t>Die komplette Web-Entwickler Masterclass</t>
  </si>
  <si>
    <t>The complete web developer masterclass</t>
  </si>
  <si>
    <t>Software Engineering</t>
  </si>
  <si>
    <t>Quantum Computing und Programmierung mit Q#: Eine Einführung</t>
  </si>
  <si>
    <t>Quantum computing and programming with Q #: An Introduction</t>
  </si>
  <si>
    <t>Modernes JavaScript (ES6): jQuery, node.js, und viel Praxis!</t>
  </si>
  <si>
    <t>Modern JavaScript (ES6): jQuery, node.js, and a lot of practice!</t>
  </si>
  <si>
    <t>Der komplette Java Kurs - Dein Weg zum Java Profi!</t>
  </si>
  <si>
    <t>The complete Java Course - Your way to the Java pro!</t>
  </si>
  <si>
    <t>Matthias La</t>
  </si>
  <si>
    <t>Lebendiges Software Design 1/3: Qualitativ Hochwertiger Code</t>
  </si>
  <si>
    <t>Living Design Software 1.3: High-quality code</t>
  </si>
  <si>
    <t>Herbert Dowalil</t>
  </si>
  <si>
    <t>Der Komplette Android 8 Entwickler Kurs - Erstelle 20+ Apps</t>
  </si>
  <si>
    <t>The Complete Android 8 developer Course - Create 20+ Apps</t>
  </si>
  <si>
    <t>WordPress für Macher und Anwender - vom Anfänger zum Profi</t>
  </si>
  <si>
    <t>WordPress for makers and users - from beginner to professional</t>
  </si>
  <si>
    <t>Pascal Bajorat</t>
  </si>
  <si>
    <t>Algorithmen und Datenstrukturen mit Python</t>
  </si>
  <si>
    <t>Algorithms and Data Structures Python</t>
  </si>
  <si>
    <t>Die komplette Java 11 Masterclass -von 0 auf 100 in 6 Wochen</t>
  </si>
  <si>
    <t>Full Java 11 Master Class -from 0 to 100 in 6 weeks</t>
  </si>
  <si>
    <t>React Native - Der Einstieg in die Entwicklung mobiler Apps</t>
  </si>
  <si>
    <t>React Native - Getting into the development of mobile apps</t>
  </si>
  <si>
    <t>Erik Behrends</t>
  </si>
  <si>
    <t>Dein Einstieg in Node.js: Professionell und komplett</t>
  </si>
  <si>
    <t>Your introduction to Node.js: Professional and fully</t>
  </si>
  <si>
    <t>Tom Bartel</t>
  </si>
  <si>
    <t>Kurs: Testautomatisierung mit Selenium für Java + Python</t>
  </si>
  <si>
    <t>Course: test automation with Selenium for Java + Python</t>
  </si>
  <si>
    <t>Dieter Schanz</t>
  </si>
  <si>
    <t>C Komplettkurs: Praxisnahe Programmierung für C Einsteiger</t>
  </si>
  <si>
    <t>C Complete Course: Practical Programming for C beginners</t>
  </si>
  <si>
    <t>JPA - Java Persistence API mit Hibernate und der Oracle DB</t>
  </si>
  <si>
    <t>JPA - Java Persistence API with Hibernate and Oracle DB</t>
  </si>
  <si>
    <t>Christoph Tornau</t>
  </si>
  <si>
    <t>Einführung in Informatik &amp; Programmierung für Anfänger</t>
  </si>
  <si>
    <t>Introduction to computer science and programming for beginners</t>
  </si>
  <si>
    <t>Johannes Ruof</t>
  </si>
  <si>
    <t>Vue.js 2 - Der Praxiskurs (inkl. vue-router, vuex, uvm.)</t>
  </si>
  <si>
    <t>Vue.js 2 - The practice course (incl. Shock-router, VGx, etc.).</t>
  </si>
  <si>
    <t>Ruven Martin</t>
  </si>
  <si>
    <t>C++ Bootcamp: Vom Anfänger zum C++ - Entwickler!</t>
  </si>
  <si>
    <t>C ++ Boot Camp: Beginner to C ++ - developers!</t>
  </si>
  <si>
    <t>Baue Webseiten mit HTML5 &amp; CSS3: Vom Anfänger zum Profi!</t>
  </si>
  <si>
    <t>Build websites with HTML5 &amp; CSS3: Beginner to pro!</t>
  </si>
  <si>
    <t>Lerne Flutter &amp; Dart und erstelle native iOS &amp; Android Apps</t>
  </si>
  <si>
    <t>Learn Flutter &amp; darts and create native iOS &amp; Android Apps</t>
  </si>
  <si>
    <t>PHP-Bootcamp: Vom Anfänger zum PHP-Entwickler</t>
  </si>
  <si>
    <t>PHP Bootcamp: Beginner to PHP developers</t>
  </si>
  <si>
    <t>JavaScript: Verstehe die seltsamen Teile</t>
  </si>
  <si>
    <t>JavaScript: Understand the strange parts</t>
  </si>
  <si>
    <t>Jakob Schaal</t>
  </si>
  <si>
    <t>Swift 5 iOS 14 - Apps entwicklen A-Z inkl. SwiftUI 2.0</t>
  </si>
  <si>
    <t>REST APIs mit Asp.Net core und C# entwicklen</t>
  </si>
  <si>
    <t>REST APIs core with Asp.Net and develop C #</t>
  </si>
  <si>
    <t>Timo H. | C# Development | .Net | DevOps</t>
  </si>
  <si>
    <t>Die Metaprogramme des NLP</t>
  </si>
  <si>
    <t>The Meta Programs des NLP</t>
  </si>
  <si>
    <t>Mark Oswald</t>
  </si>
  <si>
    <t>Chrome Developer Tools: Vom Anfänger zum Profi!</t>
  </si>
  <si>
    <t>Chrome Developer Tools: Beginner to pro!</t>
  </si>
  <si>
    <t>Docker für Softwareentwickler - Schnellstart für den Alltag</t>
  </si>
  <si>
    <t>Docker for software developers - Quick Start for everyday life</t>
  </si>
  <si>
    <t>JavaFX - Java Programme mit Oberflächen / GUIs erstellen</t>
  </si>
  <si>
    <t>create Java programs with surfaces / GUIs - JavaFX</t>
  </si>
  <si>
    <t>Das Java - Bootcamp: Lerne Java für Hobby, Beruf &amp; Studium</t>
  </si>
  <si>
    <t>The Java - Boot Camp: Learn Java for hobby, occupation &amp; Studies</t>
  </si>
  <si>
    <t>Lerne Blockchain Entwicklung: Ethereum, Solidity und Truffle</t>
  </si>
  <si>
    <t>Learn Block Chain Development: Ethereum, Solidity and Truffle</t>
  </si>
  <si>
    <t>Toms Blockchain Kurse</t>
  </si>
  <si>
    <t>Java - Programmieren für Anfänger</t>
  </si>
  <si>
    <t>Java - Programming for beginners</t>
  </si>
  <si>
    <t>Meistere die asynchrone Programmierung mit .Net und C#</t>
  </si>
  <si>
    <t>Master the asynchronous programming with .Net and C #</t>
  </si>
  <si>
    <t>HTML in 1 Stunde vollständig lernen - HTML5 Online Kurs</t>
  </si>
  <si>
    <t>learn HTML fully in 1 hour - HTML5 online course</t>
  </si>
  <si>
    <t>Leon Hoffmann</t>
  </si>
  <si>
    <t>Laravel 7 - Praxiskurs für Anfänger: Alle Grundlagen am Bsp.</t>
  </si>
  <si>
    <t>Laravel 7 - Practical course for beginners: All bases on Ex.</t>
  </si>
  <si>
    <t>Martin Eberth</t>
  </si>
  <si>
    <t>Wordpress Einfach &amp; Komplett: Erstelle deine eigene Website</t>
  </si>
  <si>
    <t>WordPress Simple &amp; Complete: Build your own website</t>
  </si>
  <si>
    <t>SAP ABAP für Anfänger 2: komplexe Datenarten und Debugging</t>
  </si>
  <si>
    <t>SAP ABAP for beginners 2: complex data types and debugging</t>
  </si>
  <si>
    <t>Python für Computer Vision und Data Science mit OpenCV</t>
  </si>
  <si>
    <t>Python for computer vision and data science with OpenCV</t>
  </si>
  <si>
    <t>Java Datenbank Kurs mit SQLite, MySQL und der Sprache SQL</t>
  </si>
  <si>
    <t>Java database course with SQLite, MySQL and SQL language</t>
  </si>
  <si>
    <t>Dein Einstieg in React JS &amp; Redux</t>
  </si>
  <si>
    <t>Your introduction to React JS &amp; Redux</t>
  </si>
  <si>
    <t>EPLAN P8 - Der Einsteigerkurs (2021)</t>
  </si>
  <si>
    <t>EPLAN P8 - The beginner course (2021)</t>
  </si>
  <si>
    <t>Patrick Elger</t>
  </si>
  <si>
    <t>App-Entwicklung mit Swift 5 für iOS 14 - inkl. SwiftUI 2</t>
  </si>
  <si>
    <t>App Development with Swift for iOS 5 14 - including SwiftUI second</t>
  </si>
  <si>
    <t>Finn Ebeling</t>
  </si>
  <si>
    <t>Der große Kurs der Webentwicklung: HTML, CSS, JS, PHP und Co</t>
  </si>
  <si>
    <t>The large rate of web development: HTML, CSS, JS, PHP and Co</t>
  </si>
  <si>
    <t>David Mika</t>
  </si>
  <si>
    <t>Crashkurs: Werde zum Flexbox-Profi in wenigen Stunden!</t>
  </si>
  <si>
    <t>Crash Course: Become Flexbox professional in a few hours!</t>
  </si>
  <si>
    <t>Natural Language Processing für Data Science mit Python</t>
  </si>
  <si>
    <t>Natural Language Processing for Data Science with Python</t>
  </si>
  <si>
    <t>SQL Grundlagen: Lerne Datenbanken (MySQL) schnell &amp; einfach!</t>
  </si>
  <si>
    <t>SQL Basics: Learn databases (MySQL) Quick &amp; Easy!</t>
  </si>
  <si>
    <t>Bootstrap 4 - Meistere modernes Webdesign mit 5 Projekten</t>
  </si>
  <si>
    <t>Bootstrap 4 - Master modern web design with five projects</t>
  </si>
  <si>
    <t>Entity Framework (EF) core Komplettkurs: Datenzugriff mit C#</t>
  </si>
  <si>
    <t>Entity Framework (EF) core Complete Course: data access with C #</t>
  </si>
  <si>
    <t>Ansible Grundlagen - Automatisiere deine IT Projekte</t>
  </si>
  <si>
    <t>Ansible Basics - Automate your IT projects</t>
  </si>
  <si>
    <t>Lerne die Android Programmierung in nur 2 Wochen!</t>
  </si>
  <si>
    <t>Learn the Android programming in just 2 weeks!</t>
  </si>
  <si>
    <t>Sherzad Kalaf Mohe</t>
  </si>
  <si>
    <t>Lerne großartige Webseiten zu erstellen</t>
  </si>
  <si>
    <t>Learn to create great websites</t>
  </si>
  <si>
    <t>Codegeeks -</t>
  </si>
  <si>
    <t>AngularJS - Entwickle eigene Angular Webapplikationen</t>
  </si>
  <si>
    <t>AngularJS - Develop own Angular web applications</t>
  </si>
  <si>
    <t>Der Java Datenstrukturen und Algorithmen Kurs</t>
  </si>
  <si>
    <t>The Java data structures and algorithms course</t>
  </si>
  <si>
    <t>Code-Editor Vim: Booste deine Produktivität (Komplett-Kurs)</t>
  </si>
  <si>
    <t>Code editor Vim: Boost your productivity (complete course)</t>
  </si>
  <si>
    <t>Stefan Schindler</t>
  </si>
  <si>
    <t>Die Swift &amp; iOS 12 Masterclass - App Entwicklung von A-Z</t>
  </si>
  <si>
    <t>The Swift &amp; iOS 12 Master Class - app development from A to Z</t>
  </si>
  <si>
    <t>Jetzt mit Bootstrap 4 starten - mit Praxisprojekt!</t>
  </si>
  <si>
    <t>Start now with Bootstrap 4 - with practical project!</t>
  </si>
  <si>
    <t>Bill Langhardt</t>
  </si>
  <si>
    <t>Angular 5 - Moderne Webseiten erstellen</t>
  </si>
  <si>
    <t>Create Modern Web sites - Angular 5</t>
  </si>
  <si>
    <t>SAP ABAP für Anfänger 4: Das Data Dictionary</t>
  </si>
  <si>
    <t>SAP ABAP for beginners 4: The Data Dictionary</t>
  </si>
  <si>
    <t>Website erstellen - Wordpress Kurs für Anfänger</t>
  </si>
  <si>
    <t>Create Website - Wordpress course for beginners</t>
  </si>
  <si>
    <t>Christoph-Moritz Reich</t>
  </si>
  <si>
    <t>Komplettkurs: Durchstarten mit Sass / SCSS</t>
  </si>
  <si>
    <t>Complete Course: Take off with Sass / SCSS</t>
  </si>
  <si>
    <t>Installationsanleitung: Java, Maven, GIT, IntelliJ &amp; Docker</t>
  </si>
  <si>
    <t>Installation Instructions: Java, Maven, GIT, IntelliJ &amp; Docker</t>
  </si>
  <si>
    <t>Alexander Redmann</t>
  </si>
  <si>
    <t>SAP ABAP für Anfänger 5: Datenbanken &amp; Code Inspector</t>
  </si>
  <si>
    <t>SAP ABAP for beginners 5: Databases and Code Inspector</t>
  </si>
  <si>
    <t>SAP ABAP für Anfänger 3: Kontrollstrukturen, Modularisierung</t>
  </si>
  <si>
    <t>SAP ABAP for beginners 3: control structures, modular</t>
  </si>
  <si>
    <t>Spiele entwickeln mit Unity 3D- Erstelle eigene Games in C#</t>
  </si>
  <si>
    <t>Games developed with Unity 3D Create your own Games in C #</t>
  </si>
  <si>
    <t>WordPress Kurs von WPC mit dem Nr. 1 Page Builder ELEMENTOR!</t>
  </si>
  <si>
    <t>Wordpress price of WPC with the no. 1 Page Builder Elementor!</t>
  </si>
  <si>
    <t>Der Animation-Kurs für Unity 2018: Animieren mit Mecanim</t>
  </si>
  <si>
    <t>Animation course for Unity 2018: Animate with Mecanim</t>
  </si>
  <si>
    <t>Die Swift 5 &amp; iOS 13 Masterclass - App Entwicklung von A - Z</t>
  </si>
  <si>
    <t>The Swift 5 &amp; iOS 13 Master Class - app development from A - Z</t>
  </si>
  <si>
    <t>Wordpress Sicherheit für Profis &amp; Anfänger</t>
  </si>
  <si>
    <t>WordPress security for professionals and beginners</t>
  </si>
  <si>
    <t>Marco Linke</t>
  </si>
  <si>
    <t>Reguläre Ausdrücke (Regular Expressions) in Python</t>
  </si>
  <si>
    <t>Regular expressions (Regular Expressions) in Python</t>
  </si>
  <si>
    <t>Dr. Lars Michael Bollweg</t>
  </si>
  <si>
    <t>JavaFX 8 - Der Einstieg in die Java-GUI Programmierung</t>
  </si>
  <si>
    <t>JavaFX 8 - The entry into the Java GUI Programming</t>
  </si>
  <si>
    <t>Java Benutzeroberflächen mit Swing erstellen + Wetter App</t>
  </si>
  <si>
    <t>Java user interfaces created with Swing + Weather App</t>
  </si>
  <si>
    <t>Swift &amp; iOS 12 - Der umfassende App Entwickler Kurs A-Z</t>
  </si>
  <si>
    <t>Swift &amp; iOS 12 - The comprehensive app developer course A-Z</t>
  </si>
  <si>
    <t>Webentwicklung mit Python und Django</t>
  </si>
  <si>
    <t>Web development with Python and Django</t>
  </si>
  <si>
    <t>Viktor Garske</t>
  </si>
  <si>
    <t>SAP ABAP Objects Komplettkurs für Praktiker</t>
  </si>
  <si>
    <t>SAP ABAP Objects Complete Course for practitioners</t>
  </si>
  <si>
    <t>Ana Lekic</t>
  </si>
  <si>
    <t>Der AI-Kurs für Unity​: Klevere Gegner für Spiele erstellen</t>
  </si>
  <si>
    <t>Create Clever opponents for games: the AI ​​course for Unity</t>
  </si>
  <si>
    <t>Android Kompaktkurs für den Einstieg mit Jetpack und Kotlin</t>
  </si>
  <si>
    <t>Android compact course for beginners with jetpack and Kotlin</t>
  </si>
  <si>
    <t>SAP ABAP Programmierung auf einen Blick</t>
  </si>
  <si>
    <t>SAP ABAP programming at a glance</t>
  </si>
  <si>
    <t>PHP Programmierung für Anfänger - Grundlagen</t>
  </si>
  <si>
    <t>PHP Programming for Beginners - Basics</t>
  </si>
  <si>
    <t>Timo Jeske</t>
  </si>
  <si>
    <t>Einstieg in die iOS Spieleentwicklung mit SpriteKit &amp; Swift</t>
  </si>
  <si>
    <t>Entry into the iOS game development with SpriteKit &amp; Swift</t>
  </si>
  <si>
    <t>SAP Berechtigungen Grundlagen 2016</t>
  </si>
  <si>
    <t>SAP authorizations Basics 2016</t>
  </si>
  <si>
    <t>Laravel für Anfänger - Lerne Laravel in nur 4 Stunden</t>
  </si>
  <si>
    <t>Laravel for beginners - Learn laravel in just 4 hours</t>
  </si>
  <si>
    <t>Anton Porsche</t>
  </si>
  <si>
    <t>Entwickle watchOS 3 Apps mit Swift</t>
  </si>
  <si>
    <t>Develop watchOS 3 apps with Swift</t>
  </si>
  <si>
    <t>WordPress Webseite mit dem Premium Theme Enfold aufbauen</t>
  </si>
  <si>
    <t>WordPress build website with Premium Theme Enfold</t>
  </si>
  <si>
    <t>Nikolaus Kolba</t>
  </si>
  <si>
    <t>Komplettanleitung - Thrive Architect alles im Detail erklärt</t>
  </si>
  <si>
    <t>explains Thrive Architect everything in detail - Complete Guide</t>
  </si>
  <si>
    <t>Ingo Ahnfeldt</t>
  </si>
  <si>
    <t>Programmieren lernen: Swift von A bis Z</t>
  </si>
  <si>
    <t>Learning to program: Swift from A to Z</t>
  </si>
  <si>
    <t>Divi: WordPress Theme Grundlagen</t>
  </si>
  <si>
    <t>Divi: WordPress Theme basics</t>
  </si>
  <si>
    <t>Andreas Geibert</t>
  </si>
  <si>
    <t>SpriteKit Einführung - Spieleentwicklung für iOS mit Swift 3</t>
  </si>
  <si>
    <t>SpriteKit Introduction - game development for iOS Swift 3</t>
  </si>
  <si>
    <t>WinCC Professional im TIA Portal in der Praxis</t>
  </si>
  <si>
    <t>WinCC Professional in the TIA Portal in practice</t>
  </si>
  <si>
    <t>Tony Krämer</t>
  </si>
  <si>
    <t>360 Grad Architektur mit Unity und Cinema 4D</t>
  </si>
  <si>
    <t>360 degrees architecture with Unity and Cinema 4D</t>
  </si>
  <si>
    <t>Dein Powerstart für Einsteiger: Android 8 Apps und Firebase</t>
  </si>
  <si>
    <t>Your Power Start for beginners: Android Apps 8 and Fire Base</t>
  </si>
  <si>
    <t>Frithjof Ebert</t>
  </si>
  <si>
    <t>UITableView mit Swift - von A bis Z</t>
  </si>
  <si>
    <t>UITableView with Swift - from A to Z</t>
  </si>
  <si>
    <t>SwiftUI 2.0 Kurs mit iOS 14 und Swift 5</t>
  </si>
  <si>
    <t>SwiftUI 2.0 course with iOS 14 and Swift 5</t>
  </si>
  <si>
    <t>Autodesk Inventor 2019 - Aufbaukurs KONSTRUKTION</t>
  </si>
  <si>
    <t>Autodesk Inventor 2019 - Advanced Course DESIGN</t>
  </si>
  <si>
    <t>Entwickle einen Instagram Klon | Swift iOS 13 und Firebase</t>
  </si>
  <si>
    <t>Develop a clone Instagram | Swift IOS 13 and Fire Base</t>
  </si>
  <si>
    <t>AppleTV Apps entwickeln, der umfassende tvOS Kurs</t>
  </si>
  <si>
    <t>AppleTV Apps of comprehensive TVOS develop course</t>
  </si>
  <si>
    <t>Objektorientierte Entwicklung mit PHP 7</t>
  </si>
  <si>
    <t>Object-oriented development with PHP 7</t>
  </si>
  <si>
    <t>Aktien &amp; ETF Grundlagenkurs</t>
  </si>
  <si>
    <t>Stocks &amp; ETF basic course</t>
  </si>
  <si>
    <t>Aktien. kauf</t>
  </si>
  <si>
    <t>Mit Aktiensparplänen selbstständig Vermögen aufbauen</t>
  </si>
  <si>
    <t>build own funds with equity savings plans</t>
  </si>
  <si>
    <t>Nicolas Barghoorn</t>
  </si>
  <si>
    <t>Finance Fundamentals</t>
  </si>
  <si>
    <t>Vermögensaufbau und Altersvorsorge mit Indexfonds und ETFs</t>
  </si>
  <si>
    <t>Investment and pension planning with index funds and ETFs</t>
  </si>
  <si>
    <t>Thomas Dahlmann</t>
  </si>
  <si>
    <t>Financial Modeling mit Microsoft Excel</t>
  </si>
  <si>
    <t>Christoph Hehemann</t>
  </si>
  <si>
    <t>Private Finanzen meistern - Geld verdienen, sparen, anlegen</t>
  </si>
  <si>
    <t>Personal Finance master - make money, save, invest</t>
  </si>
  <si>
    <t>Mathias Mell</t>
  </si>
  <si>
    <t>Daytrading: An der Börse Geld verdienen für Einsteiger</t>
  </si>
  <si>
    <t>Daytrading: On the stock market make money for beginners</t>
  </si>
  <si>
    <t>Krypto Academy - Beginner zum Tradingprofi (Kryptowährungen)</t>
  </si>
  <si>
    <t>Crypto Academy - Beginner to Professional Trading (crypto currencies)</t>
  </si>
  <si>
    <t>Andreas May</t>
  </si>
  <si>
    <t>BUCHFÜHRUNG - KOMPLETTKURS</t>
  </si>
  <si>
    <t>ACCOUNTING - COMPLETE COURSE</t>
  </si>
  <si>
    <t>Nick De</t>
  </si>
  <si>
    <t>Monatlich Geld anlegen für später!</t>
  </si>
  <si>
    <t>Create monthly money for later!</t>
  </si>
  <si>
    <t>Sebastian Tonn</t>
  </si>
  <si>
    <t>Bitcoin und Kryptowährungen kaufen und verkaufen - So gehts!</t>
  </si>
  <si>
    <t>Buy Bitcoin and crypto currencies and sell - How it works!</t>
  </si>
  <si>
    <t>Lukas Pietruschka</t>
  </si>
  <si>
    <t>Aktien, Börse und Finanzen Masterclass</t>
  </si>
  <si>
    <t>Shares, stock market and Finance Master Class</t>
  </si>
  <si>
    <t>Sebastian Johnen</t>
  </si>
  <si>
    <t>Mindset Finanzen: GRAFISCHES Coaching (Kursbeschreibung!!)</t>
  </si>
  <si>
    <t>Mindset Finance: GRAPHIC Coaching (course description !!)</t>
  </si>
  <si>
    <t>Michelle Amecke</t>
  </si>
  <si>
    <t>Bilanzen lesen und verstehen</t>
  </si>
  <si>
    <t>read and understand balance sheets</t>
  </si>
  <si>
    <t>Python für Finanzanalysen und algorithmisches Trading</t>
  </si>
  <si>
    <t>Python for financial analysis and algorithmic trading</t>
  </si>
  <si>
    <t>Finanzen für Unternehmer: mehr Erfolg mit Finanzwissen!</t>
  </si>
  <si>
    <t>Finance for entrepreneurs: more success with financial education!</t>
  </si>
  <si>
    <t>Chartanalyse für FOREX &amp; Kryptowährungen für Beginner</t>
  </si>
  <si>
    <t>Chart analysis for FOREX &amp; crypto currencies for beginners</t>
  </si>
  <si>
    <t>Job Skills Hero</t>
  </si>
  <si>
    <t>Corporate Finance</t>
  </si>
  <si>
    <t>Investitionsrechnung</t>
  </si>
  <si>
    <t>Thomas Wala</t>
  </si>
  <si>
    <t>Ethical Hacking (CEHv10) - Der umfassende Kurs</t>
  </si>
  <si>
    <t>Ethical Hacking (CEHv10) - The comprehensive course</t>
  </si>
  <si>
    <t>Eric Amberg</t>
  </si>
  <si>
    <t>Computer-Netzwerke (CompTIA Network+) - der umfassende Kurs</t>
  </si>
  <si>
    <t>Computer networks (CompTIA Network +) - the comprehensive course</t>
  </si>
  <si>
    <t>LPIC-1 Linux-Bootcamp - In 30 Tagen zum Linux-Admin</t>
  </si>
  <si>
    <t>LPIC-1 Linux Boot Camp - In 30 days the Linux Admin</t>
  </si>
  <si>
    <t>Hacking und Netzwerkanalyse mit Wireshark - Der Komplettkurs</t>
  </si>
  <si>
    <t>Hacking and Network Analysis with Wireshark - The Complete Course</t>
  </si>
  <si>
    <t>Ethical Hacking mit Python in der Praxis: Der Komplettkurs</t>
  </si>
  <si>
    <t>Ethical Hacking with Python in Practice: The Complete Course</t>
  </si>
  <si>
    <t>Office 365 Grundkurs</t>
  </si>
  <si>
    <t>Office 365 Basic Course</t>
  </si>
  <si>
    <t>Tom Wechsler</t>
  </si>
  <si>
    <t>Einstieg in Red Hat Enterprise Linux Server 8 - RHCSA RH024</t>
  </si>
  <si>
    <t>Entry into Red Hat Enterprise Linux Server 8 - RHCSA RH024</t>
  </si>
  <si>
    <t>Scrum-Master und Product-Owner Zertifizierung in 8 h</t>
  </si>
  <si>
    <t>Scrum Master and Product Owner Certification in 8 hours</t>
  </si>
  <si>
    <t>Markus Stechele</t>
  </si>
  <si>
    <t>TCP/IP in der Praxis - Netzwerk-Kommunikation live erleben</t>
  </si>
  <si>
    <t>live experience network communication - TCP / IP in practice</t>
  </si>
  <si>
    <t>Linux für Einsteiger – Das ultimative Einsteiger-Training!</t>
  </si>
  <si>
    <t>Linux for beginners - The ultimate entry-level training!</t>
  </si>
  <si>
    <t>IPv4-Subnetting - vom Anfänger zum Profi</t>
  </si>
  <si>
    <t>IPv4 subnetting - from beginner to professional</t>
  </si>
  <si>
    <t>Aufbau einer Testumgebung mit Windows Server 2019</t>
  </si>
  <si>
    <t>Building a test environment with Windows Server 2019</t>
  </si>
  <si>
    <t>Active Directory mit Windows Server 2016</t>
  </si>
  <si>
    <t>Netzwerk-Troubleshooting: In 10 Schritten zur Problemlösung</t>
  </si>
  <si>
    <t>Network Troubleshooting: 10 Steps to problem solving</t>
  </si>
  <si>
    <t>Hardware</t>
  </si>
  <si>
    <t>Raspberry Pi für Einsteiger 2020 Edition (Mac+PC)</t>
  </si>
  <si>
    <t>Raspberry Pi for beginners 2020 Edition (Mac + PC)</t>
  </si>
  <si>
    <t>Axel Mammitzsch</t>
  </si>
  <si>
    <t>Netzwerkanalyse mit Wireshark</t>
  </si>
  <si>
    <t>Network Analysis with Wireshark</t>
  </si>
  <si>
    <t>Nginx High Performance Webserver - Der schnelle Einstieg</t>
  </si>
  <si>
    <t>Nginx High Performance Web Server - Quick start</t>
  </si>
  <si>
    <t>IPv6 in der Praxis: Grundlagen und Workshops</t>
  </si>
  <si>
    <t>IPv6 in Practice: Principles and workshops</t>
  </si>
  <si>
    <t>Microsoft Access 365 – Das Einsteiger-Datenbank-Training</t>
  </si>
  <si>
    <t>Microsoft Access 365 - The entry-level database Training</t>
  </si>
  <si>
    <t>Cisco Routing und Switching Grundkurs</t>
  </si>
  <si>
    <t>Cisco routing and switching Basic Course</t>
  </si>
  <si>
    <t>Hacken von Webseiten und Web Anwendungen</t>
  </si>
  <si>
    <t>Hacking of websites and web applications</t>
  </si>
  <si>
    <t>SSH effektiv nutzen: Tipps &amp; Tricks für Linux-Admins</t>
  </si>
  <si>
    <t>effectively use SSH: Tips &amp; Tricks for Linux Admins</t>
  </si>
  <si>
    <t>Testreporting - Know-How &amp; Vorlagen für das Testmanagement</t>
  </si>
  <si>
    <t>Test Reporting - Know-How &amp; Templates for test management</t>
  </si>
  <si>
    <t>Nicolas Scheel</t>
  </si>
  <si>
    <t>Linux Bash Scripting – Für Einsteiger in der Praxis</t>
  </si>
  <si>
    <t>Linux Bash Scripting - For beginners in practice</t>
  </si>
  <si>
    <t>Hacking mit Nmap: Portscanning und Schwachstellen-Analyse</t>
  </si>
  <si>
    <t>Hacking with Nmap: port scanning and vulnerability analysis</t>
  </si>
  <si>
    <t>Der große Arduino-Lehrgang: Vom Anfänger zum Profi</t>
  </si>
  <si>
    <t>The great Arduino tutorial: From beginner to professional</t>
  </si>
  <si>
    <t>Werner Böcker</t>
  </si>
  <si>
    <t>Lerne Linux in 5 Tagen und steigere deine Karrierechancen</t>
  </si>
  <si>
    <t>Learn Linux in 5 days and increase your career opportunities</t>
  </si>
  <si>
    <t>Active Directory mit Windows PowerShell Grundkurs</t>
  </si>
  <si>
    <t>Active Directory with Windows PowerShell Basic Course</t>
  </si>
  <si>
    <t>Sicherheit und Privatsphäre im Internet für Einsteiger</t>
  </si>
  <si>
    <t>Security and privacy on the Internet for Beginners</t>
  </si>
  <si>
    <t>Linux Foundation Certified System Admin (LFCS) - Teil 1/2</t>
  </si>
  <si>
    <t>Erweitertes Active Directory u. GPOs mit Windows Server 2016</t>
  </si>
  <si>
    <t>Advanced Active Directory u. GPO with Windows Server 2016</t>
  </si>
  <si>
    <t>Red Hat System Administration I - RH124 RHCSA Zertifizierung</t>
  </si>
  <si>
    <t>Red Hat System Administration I - RH124 certification RHCSA</t>
  </si>
  <si>
    <t>OpenVPN verstehen und einrichten – Sicher im Netzwerk</t>
  </si>
  <si>
    <t>OpenVPN understand and set - Secure Network</t>
  </si>
  <si>
    <t>CCNA-Powertraining: Dein Weg zum Cisco-Examen 200-301</t>
  </si>
  <si>
    <t>CCNA Power Training: Road to the Cisco exam 200-301</t>
  </si>
  <si>
    <t>Arduino: Grundlagenkurs für absolute Einsteiger</t>
  </si>
  <si>
    <t>Arduino: basic course for absolute beginners</t>
  </si>
  <si>
    <t>IT-Sicherheit: Entwickle sicherere Anwendungen!</t>
  </si>
  <si>
    <t>IT Security: Develop secure applications!</t>
  </si>
  <si>
    <t>Grundlagen SAP Berechtigungen inkl. Fiori</t>
  </si>
  <si>
    <t>Basics SAP authorizations incl. Fiori</t>
  </si>
  <si>
    <t>Hyper-V mit Windows Server 2016</t>
  </si>
  <si>
    <t>Active Directory Zertifikatsdienste mit Windows Server 2019</t>
  </si>
  <si>
    <t>Active Directory Certificate Services with Windows Server 2019</t>
  </si>
  <si>
    <t>IT Sicherheitstests und Ethical Hacking mit Kali Linux</t>
  </si>
  <si>
    <t>IT security testing and ethical hacking with Kali Linux</t>
  </si>
  <si>
    <t>Red Hat Cert Prep RHCSA 1: Verwenden der wichtigsten Tools</t>
  </si>
  <si>
    <t>Red Hat Cert Prep RHCSA 1: Use the most important tools</t>
  </si>
  <si>
    <t>Erweiterte Netzwerkdienste mit Windows Server 2016</t>
  </si>
  <si>
    <t>Advanced Network Services with Windows Server 2016</t>
  </si>
  <si>
    <t>E-Mail-Sicherheit - verschlüsselt und sicher kommunizieren</t>
  </si>
  <si>
    <t>E-mail security - encrypted and secure communication</t>
  </si>
  <si>
    <t>Cisco CCNA Routing &amp; Switching 4: Infrastructure Services</t>
  </si>
  <si>
    <t>Red Hat Cert Prep RHCSA 3: Konfiguration von lokalem Storage</t>
  </si>
  <si>
    <t>Red Hat Cert Prep RHCSA 3: configure local storage</t>
  </si>
  <si>
    <t>Der perfekte Linux-Server für Web, Mail, FTP und Domains</t>
  </si>
  <si>
    <t>The perfect Linux servers for Web, mail, FTP, and Domains</t>
  </si>
  <si>
    <t>WordPress &amp; DSGVO: Datenschutz für Websitebesitzer &amp; Blogger</t>
  </si>
  <si>
    <t>WordPress &amp; DSGVO: Privacy for website owners and bloggers</t>
  </si>
  <si>
    <t>Metasploit Grundkurs</t>
  </si>
  <si>
    <t>Metasploit Basic Course</t>
  </si>
  <si>
    <t>Cisco CCNA Routing &amp; Switching 3: WAN Technologies</t>
  </si>
  <si>
    <t>Der eigene Server mit Ubuntu Server 16.04</t>
  </si>
  <si>
    <t>The own server with Ubuntu Server 04.16</t>
  </si>
  <si>
    <t>Embarcadero Delphi für Anfänger und Fortgeschrittene</t>
  </si>
  <si>
    <t>Embarcadero Delphi for beginners and advanced</t>
  </si>
  <si>
    <t>André Schaberick</t>
  </si>
  <si>
    <t>Souverän Feedback- &amp; Kritikgespräche führen (Führungswissen)</t>
  </si>
  <si>
    <t>Sovereign feedback &amp; criticism calls (knowledge management)</t>
  </si>
  <si>
    <t>Axel Rittershaus</t>
  </si>
  <si>
    <t>Rhetorik: Selbstbewusst kommunizieren und überzeugen!</t>
  </si>
  <si>
    <t>Rhetoric: Communicating Confident and convincing!</t>
  </si>
  <si>
    <t>Wladislaw Jachtchenko</t>
  </si>
  <si>
    <t>Digital Leadership - Führung im digitalen Wandel</t>
  </si>
  <si>
    <t>Digital Leadership - Leadership in digital transformation</t>
  </si>
  <si>
    <t>Nadine Wischmeier</t>
  </si>
  <si>
    <t>Komplette Kommunikation Masterclass: 100 beste Tipps!</t>
  </si>
  <si>
    <t>Complete communication Master Class: 100 best tips!</t>
  </si>
  <si>
    <t>Agile Transformation</t>
  </si>
  <si>
    <t>Peter Klausmann</t>
  </si>
  <si>
    <t>Virtuelle Teams Profitipps - Führen und Arbeiten auf Distanz</t>
  </si>
  <si>
    <t>Virtual teams professional advice - run and work at a distance</t>
  </si>
  <si>
    <t>Emotionale Intelligenz - Wie man gute Entscheidungen trifft</t>
  </si>
  <si>
    <t>Emotional Intelligence - How to meet good decisions</t>
  </si>
  <si>
    <t>Andreas Vögele</t>
  </si>
  <si>
    <t>Design Thinking Masterclass</t>
  </si>
  <si>
    <t>Dan Wabi</t>
  </si>
  <si>
    <t>Konfliktmanagement: Konflikte erkennen und erfolgreich lösen</t>
  </si>
  <si>
    <t>Conflict management: recognizing conflicts and successfully solve</t>
  </si>
  <si>
    <t>Conny HJ Warmuth</t>
  </si>
  <si>
    <t>Aktives Zuhören: Empathie in der Kommunikation</t>
  </si>
  <si>
    <t>Active listening: empathy in communication</t>
  </si>
  <si>
    <t>Digitale Rhetorik: online präsentieren und überzeugen!</t>
  </si>
  <si>
    <t>Digital Rhetoric: online showcase and see!</t>
  </si>
  <si>
    <t>Change Prozesse erfolgreich managen</t>
  </si>
  <si>
    <t>successfully manage change processes</t>
  </si>
  <si>
    <t>Nicole Zieger</t>
  </si>
  <si>
    <t>Dauerhafter Erfolg als Führungskraft - inkl. Shortbook</t>
  </si>
  <si>
    <t>Long-term success as a manager - incl. Short Book</t>
  </si>
  <si>
    <t>Susanne Knaller</t>
  </si>
  <si>
    <t>Argumentieren - Überzeugen - Durchsetzen!</t>
  </si>
  <si>
    <t>Argue - Convince - Enforcing!</t>
  </si>
  <si>
    <t>Public Speaking Masterclass: Präsentieren wie ein TED-Talk!</t>
  </si>
  <si>
    <t>Public Speaking masterclass: Present like a TED Talk!</t>
  </si>
  <si>
    <t>Design Thinking Crashkurs | Der Mensch im Innovationsprozess</t>
  </si>
  <si>
    <t>Design Thinking crash course | Man in the innovation process</t>
  </si>
  <si>
    <t>Anastasiya Broytman</t>
  </si>
  <si>
    <t>So funktionieren Top-Teams. Machen Sie Ihr Team zum A-Team</t>
  </si>
  <si>
    <t>So top teams work. Take your team to the A-Team</t>
  </si>
  <si>
    <t>Körpersprache: Die Geheimnisse der Körpersprache entlarvt!</t>
  </si>
  <si>
    <t>Body Language: The Secrets of Body Language unmasked!</t>
  </si>
  <si>
    <t>Wertschätzende Führung</t>
  </si>
  <si>
    <t>Appreciative leadership</t>
  </si>
  <si>
    <t>Gangolf Neubach</t>
  </si>
  <si>
    <t>Überzeuge im Gespräch! Schnell zu Sympathie &amp; Vertrauen</t>
  </si>
  <si>
    <t>Convince talking! Quickly to sympathy and trust</t>
  </si>
  <si>
    <t>Coachen Sie Ihre Mitarbeiter: Coaching Wissen für Manager</t>
  </si>
  <si>
    <t>Coach your employees: coaching knowledge for managers</t>
  </si>
  <si>
    <t>Rhetorik Master - Sicher zur perfekten Rede &amp; Präsentation</t>
  </si>
  <si>
    <t>Master rhetoric - certainly the perfect speech &amp; Presentations</t>
  </si>
  <si>
    <t>TJ Walker</t>
  </si>
  <si>
    <t>Storytelling: Mit guten Geschichten begeistern!</t>
  </si>
  <si>
    <t>Storytelling: Inspire with good stories!</t>
  </si>
  <si>
    <t>Project Leadership - Führungskompetenz im Projekt</t>
  </si>
  <si>
    <t>Project Leadership - Leadership skills in project</t>
  </si>
  <si>
    <t>Grundlagen des Innovationsmanagements</t>
  </si>
  <si>
    <t>Fundamentals of Innovation Management</t>
  </si>
  <si>
    <t>Professionell schreiben: Schneller, besser, kürzer</t>
  </si>
  <si>
    <t>write professionally: Faster, better, shorter</t>
  </si>
  <si>
    <t>Valentin Dr. Zahrnt</t>
  </si>
  <si>
    <t>Leitfaden für Beratung, Kommunikation und Gesprächsführung</t>
  </si>
  <si>
    <t>Guidelines for consultation, communication and conversation</t>
  </si>
  <si>
    <t>Britta Remmel</t>
  </si>
  <si>
    <t>Produktive Meetings: Geheimnisse effektiver Besprechungen</t>
  </si>
  <si>
    <t>Productive meetings: Secrets effective meetings</t>
  </si>
  <si>
    <t>Rhetorik für Fortgeschrittene: Professionelle Kommunikation</t>
  </si>
  <si>
    <t>Rhetoric for advanced users: Professional communication</t>
  </si>
  <si>
    <t>Meetingmarathon - Das Geheimnis produktiver Meetings</t>
  </si>
  <si>
    <t>Meeting Marathon - The secret of productive meetings</t>
  </si>
  <si>
    <t>Beeinflussen Sie Ihren Chef - 1x1 der "Führung von unten"</t>
  </si>
  <si>
    <t>Influence your boss - 1x1 of "leadership from below"</t>
  </si>
  <si>
    <t>So delegieren Profis - effektiv delegieren - mehr erreichen</t>
  </si>
  <si>
    <t>So delegate professionals - delegate effectively - more reach</t>
  </si>
  <si>
    <t>Präsentieren und Reden halten - Das Präsentationstraining</t>
  </si>
  <si>
    <t>Present and speeches - The presentation training</t>
  </si>
  <si>
    <t>Small Talk - Mühelos kommunizieren &amp; Freunde Gewinnen</t>
  </si>
  <si>
    <t>Small Talk - a chance to communicate with friends &amp; Win</t>
  </si>
  <si>
    <t>Taylan Sentürk</t>
  </si>
  <si>
    <t>Strategien entwickeln und umsetzen</t>
  </si>
  <si>
    <t>develop and implement strategies</t>
  </si>
  <si>
    <t>Prof. Dr. Mario Bosslau</t>
  </si>
  <si>
    <t>Die Elevator Pitch Masterstage: Überzeugen in 60 Sekunden!</t>
  </si>
  <si>
    <t>The elevator pitch Masters Days: Come in 60 seconds!</t>
  </si>
  <si>
    <t>Heiko Schaible</t>
  </si>
  <si>
    <t>E-Mails schreiben leicht gemacht - inkl. Shortbook</t>
  </si>
  <si>
    <t>Write emails made easy - incl. Short Book</t>
  </si>
  <si>
    <t>Umgang mit Japanern</t>
  </si>
  <si>
    <t>Dealing with the Japanese</t>
  </si>
  <si>
    <t>Nihon Dialog</t>
  </si>
  <si>
    <t>Körpersprache: Sehen, was Menschen nicht sagen</t>
  </si>
  <si>
    <t>Body language: See what people do not say</t>
  </si>
  <si>
    <t>Mit Übung Power für die Stimme!</t>
  </si>
  <si>
    <t>With exercise power for the vote!</t>
  </si>
  <si>
    <t>Coachremotely | Business Coaching. Anywhere.</t>
  </si>
  <si>
    <t>Essen in Japan – Im Restaurant und Spezialitäten</t>
  </si>
  <si>
    <t>Eating in Japan - In the restaurant and specialties</t>
  </si>
  <si>
    <t>Branding und Business Grundlagen Masterclass</t>
  </si>
  <si>
    <t>Branding and Business Fundamentals Masterclass</t>
  </si>
  <si>
    <t>Businessplan - Dein Plan für deine erfolgreiche Gründung</t>
  </si>
  <si>
    <t>Business Plan - Your plan for your successful establishment</t>
  </si>
  <si>
    <t>Marco Kindermann</t>
  </si>
  <si>
    <t>Karriere managen: Die besten Erfolgsstrategien</t>
  </si>
  <si>
    <t>manage career: the best strategies for success</t>
  </si>
  <si>
    <t>Jürgen Wulff</t>
  </si>
  <si>
    <t>Online Business für Anfänger - Von Beginn an richtig</t>
  </si>
  <si>
    <t>Online Business for Beginners - From the beginning, right</t>
  </si>
  <si>
    <t>Die Digital Marketing Masterclass: Lerne alles von A-Z</t>
  </si>
  <si>
    <t>The Digital Marketing Master Class: Learn everything from A-Z</t>
  </si>
  <si>
    <t>Die Instagram Marketing Masterclass: Lerne alles von A-Z</t>
  </si>
  <si>
    <t>The Instagram Marketing Master Class: Learn everything from A-Z</t>
  </si>
  <si>
    <t>Content Marketing Strategie: Mit System Ziele erreichen!</t>
  </si>
  <si>
    <t>Content Marketing Strategy: With achieve system goals!</t>
  </si>
  <si>
    <t>Ulrich Löser,</t>
  </si>
  <si>
    <t>Die SEO Masterclass: Lerne Suchmaschinenoptimierung von A-Z</t>
  </si>
  <si>
    <t>The SEO Master Class: Learn SEO from A-Z</t>
  </si>
  <si>
    <t>Online-Texte - Headlines, die zünden</t>
  </si>
  <si>
    <t>Online texts - Headlines that fire</t>
  </si>
  <si>
    <t>Claudia Frickel</t>
  </si>
  <si>
    <t>Die Social Media Marketing Masterclass: Lerne alles von A-Z</t>
  </si>
  <si>
    <t>The Social Media Marketing Master Class: Learn everything from A-Z</t>
  </si>
  <si>
    <t>LinkedIn Marketing für Ein- und Aufsteiger</t>
  </si>
  <si>
    <t>LinkedIn marketing for beginners and intermediates</t>
  </si>
  <si>
    <t>Die Schreibwerkstatt</t>
  </si>
  <si>
    <t>The writing workshop</t>
  </si>
  <si>
    <t>Simon Sanchez Real</t>
  </si>
  <si>
    <t>DSGVO - Zusammenfassung und Tipps für die Umsetzung</t>
  </si>
  <si>
    <t>DSGVO - Summary and tips for implementation</t>
  </si>
  <si>
    <t>Strategisches, operatives und taktisches Management</t>
  </si>
  <si>
    <t>Strategic, operational and tactical management</t>
  </si>
  <si>
    <t>Eugen Profeta</t>
  </si>
  <si>
    <t>Effective Go - Lerne mehr über idiomatischen Golang Code</t>
  </si>
  <si>
    <t>Effective Go - Learn more about idiomatic Golang Code</t>
  </si>
  <si>
    <t>Andreas Schröpfer</t>
  </si>
  <si>
    <t>Google Analytics für Einsteiger</t>
  </si>
  <si>
    <t>Google Analytics for beginners</t>
  </si>
  <si>
    <t>Cathrin Tusche</t>
  </si>
  <si>
    <t>Peter lernt Content Marketing</t>
  </si>
  <si>
    <t>Peter learns Content Marketing</t>
  </si>
  <si>
    <t>Einführung in Go</t>
  </si>
  <si>
    <t>Introduction to Go</t>
  </si>
  <si>
    <t>Teaser, die zum Weiterlesen animieren</t>
  </si>
  <si>
    <t>Teasers that incite to more</t>
  </si>
  <si>
    <t>10 Tipps, die dich auf YouTube erfolgreich machen</t>
  </si>
  <si>
    <t>10 tips to make you successful on YouTube</t>
  </si>
  <si>
    <t>Nico Serapins</t>
  </si>
  <si>
    <t>Neu: 10 Google Ads Strategien für clevere Online-Marketer</t>
  </si>
  <si>
    <t>New: 10 Google Ads strategies for smart online marketers</t>
  </si>
  <si>
    <t>Malte Helmhold</t>
  </si>
  <si>
    <t>YouTube SEO Expert - Auf Nr. 1 der Suchergebnisse!</t>
  </si>
  <si>
    <t>YouTube SEO Expert - On No. 1 of search results.!</t>
  </si>
  <si>
    <t>SEO &amp; Content Marketing - Mit System zum Ranking-Erfolg</t>
  </si>
  <si>
    <t>SEO &amp; Content Marketing - Using system for ranking success</t>
  </si>
  <si>
    <t>PINTEREST MARKETING: Pinterest SEO &amp; Pinterest Business</t>
  </si>
  <si>
    <t>Leon Dawi</t>
  </si>
  <si>
    <t>Google AdWords (Google Ads) Praxiskurs für Selbstständige</t>
  </si>
  <si>
    <t>Google AdWords (Google Ads) practical course for self-employed</t>
  </si>
  <si>
    <t>Dr. Sebastian Decker</t>
  </si>
  <si>
    <t>30 Facebook Marketing Hacks: Der Komplette Facebook Kurs</t>
  </si>
  <si>
    <t>30 Facebook Marketing Hacks: The Complete Course Facebook</t>
  </si>
  <si>
    <t>Leon Chaudhari Akademie</t>
  </si>
  <si>
    <t>Social Media Marketing - Deine Content Strategie</t>
  </si>
  <si>
    <t>Social Media Marketing - your content strategy</t>
  </si>
  <si>
    <t>Website Traffic - Kostenlos mehr Website-Besucher generieren</t>
  </si>
  <si>
    <t>Website Traffic - Free generate more website visitors</t>
  </si>
  <si>
    <t>Praxisprojekt: A/B-Test mit PHP</t>
  </si>
  <si>
    <t>Practice Project: A / B testing with PHP</t>
  </si>
  <si>
    <t>SEO Texte richtig schreiben und formatieren</t>
  </si>
  <si>
    <t>Write SEO in texts and format</t>
  </si>
  <si>
    <t>Philipp Stelzel</t>
  </si>
  <si>
    <t>Webinar Marketing: Erstelle Professionelle Webinar Funnels</t>
  </si>
  <si>
    <t>Webinar Marketing: Create Professional Webinar Funnels</t>
  </si>
  <si>
    <t>eCommerce Hero</t>
  </si>
  <si>
    <t>Das Blog-Launch-Rezept - Erfolgreich bloggen von Anfang an!</t>
  </si>
  <si>
    <t>The Blog Launch Recipe - Successful blogging from the start!</t>
  </si>
  <si>
    <t>Buyer Personas im Content Marketing entwickeln und anwenden</t>
  </si>
  <si>
    <t>Buyer Personas develop content marketing and apply</t>
  </si>
  <si>
    <t>7 unverzichtbare Inhalte für erfolgreiche Landing Pages!</t>
  </si>
  <si>
    <t>7 indispensable content for successful landing pages!</t>
  </si>
  <si>
    <t>Frank Schatz (frankfragen.com)</t>
  </si>
  <si>
    <t>Mehr Verkäufe über Social Media: Marketing für Anfänger</t>
  </si>
  <si>
    <t>More sales through Social Media: Marketing For Beginners</t>
  </si>
  <si>
    <t>Mareike Schamberger</t>
  </si>
  <si>
    <t>Facebook+Instagram Ads Crashkurs für Selbstständige und KMUs</t>
  </si>
  <si>
    <t>Facebook + Instagram Ads crash course for self-employed and SMEs</t>
  </si>
  <si>
    <t>Maximilian Klingenberg</t>
  </si>
  <si>
    <t>Facebook Ads Campaign Budget Optimization CBO Kurs Deutsch</t>
  </si>
  <si>
    <t>Sebastian Börstler</t>
  </si>
  <si>
    <t>SEO GURU | Workshop für SEO-Muffel</t>
  </si>
  <si>
    <t>SEO GURU | Workshop SEO muffle</t>
  </si>
  <si>
    <t>Instagram Marketing - Die perfekte Werbung auf Instagram</t>
  </si>
  <si>
    <t>Instagram Marketing - The perfect advertising on Instagram</t>
  </si>
  <si>
    <t>André Thöne</t>
  </si>
  <si>
    <t>Pinterest Marketing, die meist unterschätze Plattform</t>
  </si>
  <si>
    <t>Pinterest Marketing, the most underrated platform</t>
  </si>
  <si>
    <t>Ecom Bird</t>
  </si>
  <si>
    <t>Die Podcast-Masterclass: systematischer Podcasting-Einstieg</t>
  </si>
  <si>
    <t>The podcast Master Class: systematic podcasting entry</t>
  </si>
  <si>
    <t>Google My Business - So werden Sie zur Nr. 1 in Ihrer Stadt!</t>
  </si>
  <si>
    <t>Google My Business - To be the No. 1 in your town.!</t>
  </si>
  <si>
    <t>Norbert Weber</t>
  </si>
  <si>
    <t>Facebook Werbeanzeigen Meisterkurs: Facebook Werbung von A-Z</t>
  </si>
  <si>
    <t>Facebook advertisements masterclass: Facebook Advertising from A to Z</t>
  </si>
  <si>
    <t>Leon Chaudhari</t>
  </si>
  <si>
    <t>⭐️[Mehr Leads] Landingpages &amp; Lead-Generation mit WordPress!</t>
  </si>
  <si>
    <t>⭐️ [More Leads] Landing Pages &amp; lead generation with WordPress!</t>
  </si>
  <si>
    <t>Bing Ads Masterclass: Werde zum Bing Ads Profi</t>
  </si>
  <si>
    <t>Bing Ads Master Class: Become a professional Bing Ads</t>
  </si>
  <si>
    <t>Jonas Klaholz</t>
  </si>
  <si>
    <t>Facebook Marketing Meisterkurs: Der Komplette Facebook Kurs</t>
  </si>
  <si>
    <t>Facebook Marketing Masterclass: The Complete Course Facebook</t>
  </si>
  <si>
    <t>SEO: Suchmaschinenoptimierung für Google in 8 Tagen umsetzen</t>
  </si>
  <si>
    <t>SEO: implement search engine optimization for Google in 8 days</t>
  </si>
  <si>
    <t>Facebook Marketing - Seite, Gruppe, Livestream, Bots und Co.</t>
  </si>
  <si>
    <t>Facebook Marketing - Page, Group, Live Stream, bots and Co.</t>
  </si>
  <si>
    <t>E-Mail Marketing mit Klick-Tipp: Werde Profi in 4 Stunden!</t>
  </si>
  <si>
    <t>Email marketing with click tip: Become a professional in 4 hours!</t>
  </si>
  <si>
    <t>Sebastian Glöckner</t>
  </si>
  <si>
    <t>Standortanalyse Crashkurs</t>
  </si>
  <si>
    <t>Location analysis Crash Course</t>
  </si>
  <si>
    <t>Paul Hinrichs</t>
  </si>
  <si>
    <t>Podcasting für Einsteiger - Ganz einfach zum ersten Podcast!</t>
  </si>
  <si>
    <t>Podcasting for beginners - It's easy for the first podcast!</t>
  </si>
  <si>
    <t>Florian Prince</t>
  </si>
  <si>
    <t>Marketing Automatisierung mit Webinaris</t>
  </si>
  <si>
    <t>Marketing automation with Webinaris</t>
  </si>
  <si>
    <t>In 8 Schritten zur erfolgreichen Facebook-Fanpage</t>
  </si>
  <si>
    <t>8 steps to successful Facebook fan</t>
  </si>
  <si>
    <t>Microsoft Teams 2020</t>
  </si>
  <si>
    <t>XTrain E-Learning</t>
  </si>
  <si>
    <t>Das ultimative Excel Kurs Komplettpaket: Jetzt durchstarten!</t>
  </si>
  <si>
    <t>The Ultimate Excel course complete package: Get Started!</t>
  </si>
  <si>
    <t>Daniel Kogan</t>
  </si>
  <si>
    <t>Home Office: mehr Produktivität &amp; besseres Selbstmanagement</t>
  </si>
  <si>
    <t>Home Office: productivity &amp; better self-management</t>
  </si>
  <si>
    <t>Das ultimative Office 365 Kompendium für Einsteiger!</t>
  </si>
  <si>
    <t>The ultimate compendium Office 365 for beginners!</t>
  </si>
  <si>
    <t>Ben Polland</t>
  </si>
  <si>
    <t>Microsoft Teams Komplettkurs - Vom Einsteiger zum Profi</t>
  </si>
  <si>
    <t>Microsoft teams Complete Course - From beginners to professionals</t>
  </si>
  <si>
    <t>Der Vollständige Excel Kurs - Dein Durchbruch zum Experten!</t>
  </si>
  <si>
    <t>The Complete Excel Course - Your breakthrough to the experts!</t>
  </si>
  <si>
    <t>Der Excel Kurs für Einsteiger - Formeln, Funktionen &amp; Pivot</t>
  </si>
  <si>
    <t>The Excel for Beginners - formulas, functions and Pivot</t>
  </si>
  <si>
    <t>Eugen Erhart</t>
  </si>
  <si>
    <t>Microsoft Planner für Einsteiger</t>
  </si>
  <si>
    <t>Microsoft Planner for beginners</t>
  </si>
  <si>
    <t>Benjamin Beloch</t>
  </si>
  <si>
    <t>Das digitale Notizbuch - OneNote für Einsteiger</t>
  </si>
  <si>
    <t>The digital notepad - OneNote for beginners</t>
  </si>
  <si>
    <t>Präsentieren mit PowerPoint: Präsentationstraining</t>
  </si>
  <si>
    <t>Presenting with PowerPoint: Presentation Training</t>
  </si>
  <si>
    <t>Microsoft Excel Pivot-Tabellen: Vom Anfänger zum Profi</t>
  </si>
  <si>
    <t>Microsoft Excel pivot tables: From beginner to professional</t>
  </si>
  <si>
    <t>Indra Kohl</t>
  </si>
  <si>
    <t>Excel VBA&amp;Makro Programmierung: Jetzt richtig durchstarten!</t>
  </si>
  <si>
    <t>Excel VBA &amp; Macro Programming: Now properly take off!</t>
  </si>
  <si>
    <t>Digitalisierung mit Microsoft SharePoint Teamwebsites</t>
  </si>
  <si>
    <t>Digitization with Microsoft SharePoint team sites</t>
  </si>
  <si>
    <t>Gabriela Bergantini</t>
  </si>
  <si>
    <t>Excel Power Query - Excel Daten abrufen und transformieren!</t>
  </si>
  <si>
    <t>retrieve Excel data and transform - Excel Power Query!</t>
  </si>
  <si>
    <t>Mit Microsoft Teams Projekte erfolgreich bewältigen</t>
  </si>
  <si>
    <t>successfully cope with Microsoft Team Projects</t>
  </si>
  <si>
    <t>Microsoft Excel - Excel für Anfänger</t>
  </si>
  <si>
    <t>Microsoft Excel - Excel for beginners</t>
  </si>
  <si>
    <t>Erik Möder</t>
  </si>
  <si>
    <t>Next Level PowerPoint - kreative Bildgestaltung im Marketing</t>
  </si>
  <si>
    <t>Next Level PowerPoint - creative image in marketing</t>
  </si>
  <si>
    <t>Jennifer Karos</t>
  </si>
  <si>
    <t>Outlook 2016 das ultimative Training vom Anfänger zum Profi</t>
  </si>
  <si>
    <t>Outlook 2016, the ultimate training from beginner to professional</t>
  </si>
  <si>
    <t>Excel Makros - Automatisiere Deine Excel Arbeit!</t>
  </si>
  <si>
    <t>Excel Macros - Automate your Excel work!</t>
  </si>
  <si>
    <t>Einführung in Power Pivot</t>
  </si>
  <si>
    <t>Introduction to PowerPivot</t>
  </si>
  <si>
    <t>Holger Gubbels</t>
  </si>
  <si>
    <t>Das große Microsoft Office 2016 - 2019 Einsteiger Training</t>
  </si>
  <si>
    <t>The large Microsoft Office 2016 - 2019 Beginners Training</t>
  </si>
  <si>
    <t>Operating Systems</t>
  </si>
  <si>
    <t>Windows 10 - Einfach und verständlich</t>
  </si>
  <si>
    <t>Windows 10 - Simple and understandable</t>
  </si>
  <si>
    <t>Daniel Schwenk</t>
  </si>
  <si>
    <t>Excel Makros / VBA Programmierung. Automatisierung mit Excel</t>
  </si>
  <si>
    <t>Excel macros / VBA programming. Automation with Excel</t>
  </si>
  <si>
    <t>Microsoft Office 365 - Excel, Word, PowerPoint und Outlook</t>
  </si>
  <si>
    <t>Excel Datenvisualisierung - Excel Diagramme &amp; Karten</t>
  </si>
  <si>
    <t>Excel data visualization - Excel Charts &amp; Maps</t>
  </si>
  <si>
    <t>SharePoint Kommunikationswebsites</t>
  </si>
  <si>
    <t>SharePoint Communications Websites</t>
  </si>
  <si>
    <t>Excel 2019 für Anfänger: Grundlagen, Rechnen und Formatieren</t>
  </si>
  <si>
    <t>Excel 2019 for Beginners: Fundamentals, arithmetic and formatting</t>
  </si>
  <si>
    <t>Excel VBA für Einsteiger - Anschaulich Programmieren lernen</t>
  </si>
  <si>
    <t>Excel VBA for beginners - learn Clearly Programming</t>
  </si>
  <si>
    <t>Lucas Friedrich Mertens</t>
  </si>
  <si>
    <t>Hyper-V Failover Cluster mit Windows Server 2016</t>
  </si>
  <si>
    <t>Microsoft Excel UserForms</t>
  </si>
  <si>
    <t>Pascal Schindler</t>
  </si>
  <si>
    <t>Office Bootcamp - Office schneller und effizienter anwenden</t>
  </si>
  <si>
    <t>Office Boot Camp - Office quickly and efficiently apply</t>
  </si>
  <si>
    <t>Henning Glaser</t>
  </si>
  <si>
    <t>Excel 2010 - 2019 für Präsentationen, Pivot Tabellen &amp; Druck</t>
  </si>
  <si>
    <t>Excel 2010 - 2019 &amp; for presentations, pivot tables pressure</t>
  </si>
  <si>
    <t>Word 2016 Training – Von 0 auf 100 zum Word ECDL Profi</t>
  </si>
  <si>
    <t>Word 2016 Training - From 0 to 100 for Word ECDL Professional</t>
  </si>
  <si>
    <t>Powerpoint - verblüffende Effekte und Animationen</t>
  </si>
  <si>
    <t>PowerPoint - stunning effects and animations</t>
  </si>
  <si>
    <t>Ralf Pareigis</t>
  </si>
  <si>
    <t>Umstieg auf Mac - macOS für Einsteiger</t>
  </si>
  <si>
    <t>Switching to Mac - macOS for beginners</t>
  </si>
  <si>
    <t>Effizientes Reporting und Forschen durch R Markdown</t>
  </si>
  <si>
    <t>Efficient reporting and research by R markdown</t>
  </si>
  <si>
    <t>Microsoft Excel Masterclass – einfach &amp; schnell zum Experten</t>
  </si>
  <si>
    <t>Microsoft Excel Masterclass - quick &amp; easy to expert</t>
  </si>
  <si>
    <t>IT-Online Kurse Rene Fürst</t>
  </si>
  <si>
    <t>Zeiterfassung in Microsoft Excel: Stundenzettel erstellen</t>
  </si>
  <si>
    <t>Timesheet in Microsoft Excel: Create timesheets</t>
  </si>
  <si>
    <t>In 5 Schritten zum Seminar-Konzept</t>
  </si>
  <si>
    <t>5 Steps to Seminar concept</t>
  </si>
  <si>
    <t>Angelika Froech</t>
  </si>
  <si>
    <t>Schreibgewohnheiten trainieren</t>
  </si>
  <si>
    <t>train writing habits</t>
  </si>
  <si>
    <t>Kathrin Hamann</t>
  </si>
  <si>
    <t>Google Apps für Anfänger (deutsch)</t>
  </si>
  <si>
    <t>Google Apps for beginners (German)</t>
  </si>
  <si>
    <t>Andreas Ruehlow</t>
  </si>
  <si>
    <t>macOS Mojave - Das Einsteiger- &amp; Fortgeschrittenen-Training</t>
  </si>
  <si>
    <t>macOS Mojave - The beginners &amp; advanced training</t>
  </si>
  <si>
    <t>Windows zu Linux Mint - Desktop-Anwender Umsteiger Training</t>
  </si>
  <si>
    <t>Windows to Linux Mint - desktop users newcomers training</t>
  </si>
  <si>
    <t>Active Directory Migration 2008 R2 auf 2016/2019</t>
  </si>
  <si>
    <t>Active Directory Migration 2008 R2 on 2016/2019</t>
  </si>
  <si>
    <t>Schlagfertigkeit: Die 30 besten Schlagfertigkeits-Techniken!</t>
  </si>
  <si>
    <t>Repartee: The 30 best Schlagfertigkeits techniques!</t>
  </si>
  <si>
    <t>Schwarze Rhetorik: Manipulation durch Sprache!</t>
  </si>
  <si>
    <t>Black Rhetoric: manipulation language!</t>
  </si>
  <si>
    <t>Ziele erreichen wie ein Profi - mit OKRs (Google-Methode)</t>
  </si>
  <si>
    <t>Achieving goals like a pro - with your OKRs (Google method)</t>
  </si>
  <si>
    <t>Effizienz und Effektivität steigern: Mehr Produktivität!</t>
  </si>
  <si>
    <t>Increase efficiency and effectiveness: More productivity!</t>
  </si>
  <si>
    <t>Business Englisch für Anfänger-Sicher im täglichen Gebrauch</t>
  </si>
  <si>
    <t>Business English for beginners safe for daily use</t>
  </si>
  <si>
    <t>Loretta Huether</t>
  </si>
  <si>
    <t>Superproduktiv werden! Tipps, Tricks, Tools und Strategien</t>
  </si>
  <si>
    <t>be super productive! Tips, tricks, tools and strategies</t>
  </si>
  <si>
    <t>Johannes Metzler</t>
  </si>
  <si>
    <t>Coaching - So machen's die Profis.</t>
  </si>
  <si>
    <t>Coaching - So do it the pros.</t>
  </si>
  <si>
    <t>Salvatore Princi</t>
  </si>
  <si>
    <t>Schneller lernen: Die besten Lerntechniken!</t>
  </si>
  <si>
    <t>learn faster: The best learning techniques!</t>
  </si>
  <si>
    <t>Deutsch für Dich: B2 - Deutsch für Fortgeschrittene</t>
  </si>
  <si>
    <t>German for you: B2 - Advanced German</t>
  </si>
  <si>
    <t>Esther Hartwig</t>
  </si>
  <si>
    <t>Englisch für Anfänger - English for Beginners</t>
  </si>
  <si>
    <t>English for beginners - English for Beginners</t>
  </si>
  <si>
    <t>44 Fragetechniken: Effektiver kommunizieren mit guten Fragen</t>
  </si>
  <si>
    <t>44 Questioning Techniques: Effective communication with good questions</t>
  </si>
  <si>
    <t>Der komplette Zeichenkurs - ganz einfach Zeichnen lernen</t>
  </si>
  <si>
    <t>easily learn drawing - The complete drawing course</t>
  </si>
  <si>
    <t>Richard Mahlmann</t>
  </si>
  <si>
    <t>Resilienz - Weniger Stress durch emotionale Intelligenz</t>
  </si>
  <si>
    <t>Resilience - Less stress through emotional intelligence</t>
  </si>
  <si>
    <t>Lernen Sie Deutsch: Deutschkurs für Anfänger</t>
  </si>
  <si>
    <t>Learn German: German course for beginners</t>
  </si>
  <si>
    <t>Persönlichkeitsentwicklung: Jeden Tag ein bisschen besser!</t>
  </si>
  <si>
    <t>Personality development: Every day a little better!</t>
  </si>
  <si>
    <t>ATEM - Achtsamkeits-Training für Entspannung und Meditation</t>
  </si>
  <si>
    <t>BREATH - mindfulness training for relaxation and meditation</t>
  </si>
  <si>
    <t>Marius Zerbst</t>
  </si>
  <si>
    <t>Reden ist Wirkung - Wirkung ist Macht | Rhetorik</t>
  </si>
  <si>
    <t>Talk is action - action is power | rhetoric</t>
  </si>
  <si>
    <t>Ganzheitliches Life Coaching</t>
  </si>
  <si>
    <t>Holistic Life Coaching</t>
  </si>
  <si>
    <t>Python für Data Science, Machine Learning &amp; Visualization</t>
  </si>
  <si>
    <t>Erkenne deinen Seelenplan und folge deiner Berufung</t>
  </si>
  <si>
    <t>Know your soul plan and follow your calling</t>
  </si>
  <si>
    <t>Lernen wie ein Gamer - Lerne alles so leicht wie im Spiel</t>
  </si>
  <si>
    <t>Learning as a gamer - Learn everything as easy as in the game</t>
  </si>
  <si>
    <t>On Point</t>
  </si>
  <si>
    <t>So motivierst du dich und entwickelst neue Gewohnheiten</t>
  </si>
  <si>
    <t>So do you motivate yourself and develop new habits</t>
  </si>
  <si>
    <t>Souverän reagieren lernen in 50 Minuten</t>
  </si>
  <si>
    <t>learn to react confidently within 50 minutes</t>
  </si>
  <si>
    <t>Academy Edition</t>
  </si>
  <si>
    <t>Wirkungsfaktor Körpersprache - Zeichen sagen mehr als Worte</t>
  </si>
  <si>
    <t>Effect factor body language - sign says more than words</t>
  </si>
  <si>
    <t>Sketchnotes für Anfänger und Fortgeschrittene</t>
  </si>
  <si>
    <t>Sketch Notes for beginners and advanced</t>
  </si>
  <si>
    <t>Schreiben mit Flair: Wie du ein exzellenter Autor wirst</t>
  </si>
  <si>
    <t>Writing with flair: How will you an excellent writer</t>
  </si>
  <si>
    <t>Markus Knopp</t>
  </si>
  <si>
    <t>Schwarze Rhetorik der Profis: Versteckte Beeinflussung</t>
  </si>
  <si>
    <t>Black rhetoric of professionals: Hidden influencing</t>
  </si>
  <si>
    <t>Einführung in die Verschlüsselung: Terminologie &amp; Technik</t>
  </si>
  <si>
    <t>Introduction to Encryption: Terminology &amp; Technology</t>
  </si>
  <si>
    <t>Frank Hissen</t>
  </si>
  <si>
    <t>30 Tage für die Ordnung -Endlich ordentlich sein</t>
  </si>
  <si>
    <t>30 days for the order -Endlich be neat</t>
  </si>
  <si>
    <t>Anett Heim</t>
  </si>
  <si>
    <t>Befreie deine Stimme! Gesangsunterricht für alle Level</t>
  </si>
  <si>
    <t>Liberate your vote! Singing lessons for all levels</t>
  </si>
  <si>
    <t>Carina Hager</t>
  </si>
  <si>
    <t>Lebenslauf schreiben leicht gemacht - inkl. Shortbook</t>
  </si>
  <si>
    <t>Resume writing made easy - including short book.</t>
  </si>
  <si>
    <t>Stimmtraining - stimmig sein lohnt sich</t>
  </si>
  <si>
    <t>Voice training - be consistent worthwhile</t>
  </si>
  <si>
    <t>Dagmar Jesussek - D'Alessio</t>
  </si>
  <si>
    <t>Produktivität steigern: Effizientes Zeitmanagement im Alltag</t>
  </si>
  <si>
    <t>Increase Productivity: Efficient time management in everyday life</t>
  </si>
  <si>
    <t>Florian Friebus</t>
  </si>
  <si>
    <t>Die Speedreading-Formel - 2x schneller lesen in 2 Wochen</t>
  </si>
  <si>
    <t>The Speed ​​Reading Formula - read 2x faster in 2 weeks</t>
  </si>
  <si>
    <t>Wichard Lüdje</t>
  </si>
  <si>
    <t>Ableton Live 10 Masterclass</t>
  </si>
  <si>
    <t>Dennis Schnichels</t>
  </si>
  <si>
    <t>Motivation ohne tschakka! 10 beste Tools, sich zu motivieren</t>
  </si>
  <si>
    <t>Motivation without Tschakka! 10 best tools to motivate yourself</t>
  </si>
  <si>
    <t>Gitarre spielen wie die Profis</t>
  </si>
  <si>
    <t>Playing guitar like the pros</t>
  </si>
  <si>
    <t>Timo Maiwald</t>
  </si>
  <si>
    <t>Einführung in die japanische Sprache und Kultur</t>
  </si>
  <si>
    <t>Introduction to the Japanese language and culture</t>
  </si>
  <si>
    <t>Dein bestes Jahr 2021! Ziele erreichen, erfolgreich leben</t>
  </si>
  <si>
    <t>Your Best 2021! achieve goals, successful life</t>
  </si>
  <si>
    <t>50 Tipps um deine Fotos professioneller aussehen zu lassen!</t>
  </si>
  <si>
    <t>50 tips to make it look professional to your photos!</t>
  </si>
  <si>
    <t>Ich bin. Also wirke ich.</t>
  </si>
  <si>
    <t>I am. So I am working.</t>
  </si>
  <si>
    <t>Lutz Herkenrath</t>
  </si>
  <si>
    <t>Charisma: Mehr Ausstrahlung mit dem Charisma-Code!</t>
  </si>
  <si>
    <t>Charisma: More radiance with the charisma Code</t>
  </si>
  <si>
    <t>Russisch lernen für Anfänger</t>
  </si>
  <si>
    <t>learn Russian for beginners</t>
  </si>
  <si>
    <t>Valeria Frisch</t>
  </si>
  <si>
    <t>Coach werden: Lösungsorientiertes Kurzzeitcoaching</t>
  </si>
  <si>
    <t>Coach are: Solution-oriented brief coaching</t>
  </si>
  <si>
    <t>Selbstmanagement für wichtige Aufgaben und Ziele</t>
  </si>
  <si>
    <t>Self-management for important tasks and goals</t>
  </si>
  <si>
    <t>Realistisch Zeichnen - Die praxisorientierte Masterclass</t>
  </si>
  <si>
    <t>Realistic drawing - The practical masterclass</t>
  </si>
  <si>
    <t>Kanji Lesen und Schreiben lernen - Einführung</t>
  </si>
  <si>
    <t>Kanji reading and writing learning - Introduction</t>
  </si>
  <si>
    <t>Deine perfekte Morgenroutine</t>
  </si>
  <si>
    <t>Your perfect morning routine</t>
  </si>
  <si>
    <t>Tim Lamprecht</t>
  </si>
  <si>
    <t>Endlich Ruhe: Mit der HeadNap-Achtsamkeitstechnik</t>
  </si>
  <si>
    <t>Peace at last: The HeadNap mindfulness technique</t>
  </si>
  <si>
    <t>Siegfried Höchst</t>
  </si>
  <si>
    <t>Bewerben für Führungskräfte - Verkaufe dich optimal</t>
  </si>
  <si>
    <t>Apply for executives - Sell yourself optimally</t>
  </si>
  <si>
    <t>Hiragana Lesen und Schreiben lernen</t>
  </si>
  <si>
    <t>learn to read and write Hiragana</t>
  </si>
  <si>
    <t>Produktivität: Der etwas andere Produktivitätskurs</t>
  </si>
  <si>
    <t>Productivity: The productivity slightly different course</t>
  </si>
  <si>
    <t>Mentaltraining:Von der kleinen Angst zur großen Gelassenheit</t>
  </si>
  <si>
    <t>Mental Training: From the small to the great fear serenity</t>
  </si>
  <si>
    <t>Anja Winkelmann</t>
  </si>
  <si>
    <t>Zeichnungen, Aquarell und Lettering digitalisieren</t>
  </si>
  <si>
    <t>digitize drawings, watercolors and Lettering</t>
  </si>
  <si>
    <t>Kreativtechniken - Kreativität auf Knopfdruck</t>
  </si>
  <si>
    <t>Creative techniques - Creativity at your fingertips</t>
  </si>
  <si>
    <t>EPLAN P8 - Der Fortgeschrittenen Kurs (2021)</t>
  </si>
  <si>
    <t>EPLAN P8 - The advanced course (2021)</t>
  </si>
  <si>
    <t>Filmen mit dem Smartphone - Vom Filmanfänger zum Profi</t>
  </si>
  <si>
    <t>Films with smartphone - from beginner to professional film</t>
  </si>
  <si>
    <t>Rainer Wolf</t>
  </si>
  <si>
    <t>Startup Your Life – finde Deine Bestimmung in Arbeit &amp; Leben</t>
  </si>
  <si>
    <t>Startup Your Life - find your destiny in Work &amp; Life</t>
  </si>
  <si>
    <t>Pascal Gabriel</t>
  </si>
  <si>
    <t>Adobe Lightroom CC: Landschaftsfotografie Master Class 2021</t>
  </si>
  <si>
    <t>Fabian Rosshirt</t>
  </si>
  <si>
    <t>Katakana Lesen und Schreiben lernen</t>
  </si>
  <si>
    <t>Learn Katakana reading and writing</t>
  </si>
  <si>
    <t>Musikproduktion im Heimstudio: Kompression verstehen</t>
  </si>
  <si>
    <t>Music production home studio: Understanding Compression</t>
  </si>
  <si>
    <t>Marc "Selec" Zimmermann</t>
  </si>
  <si>
    <t>Expressive und farbenfrohe Blumen in Aquarell</t>
  </si>
  <si>
    <t>Expressive and colorful flowers in watercolor</t>
  </si>
  <si>
    <t>Inna Pavlecka-Tumarkin</t>
  </si>
  <si>
    <t>Deutsche Gebärdensprachkurs für Anfänger</t>
  </si>
  <si>
    <t>German sign language course for beginners</t>
  </si>
  <si>
    <t>Roni Institut</t>
  </si>
  <si>
    <t>Eventpsychologie Basic Academy</t>
  </si>
  <si>
    <t>Ben Panther</t>
  </si>
  <si>
    <t>Adobe Illustrator CC – Illustrator Werkzeuge &amp; Logodesign</t>
  </si>
  <si>
    <t>Adobe Illustrator CC - Illustrator Werkzeuge &amp; Logo Design</t>
  </si>
  <si>
    <t>Ziele erreichen: Die ultimative Step-by-Step Anleitung</t>
  </si>
  <si>
    <t>achieve goals: The Ultimate Step-by-Step Guide</t>
  </si>
  <si>
    <t>⭐️[SMART PERFORMANCE] Erreiche deine Ziele &amp; lebe dein Leben</t>
  </si>
  <si>
    <t>⭐️ [SMART PERFORMANCE] Achieve your goals and live your life</t>
  </si>
  <si>
    <t>Quellenverwaltung mit Zotero automatisieren: Praxiskurs</t>
  </si>
  <si>
    <t>Source Management automate Zotero: Practice Course</t>
  </si>
  <si>
    <t>Prof. Dr. Martin Gertler</t>
  </si>
  <si>
    <t>Produktfotografie von Low Budget bis Profilösung</t>
  </si>
  <si>
    <t>Product photography from low budget to professional solution</t>
  </si>
  <si>
    <t>Bernhard Rauscher</t>
  </si>
  <si>
    <t>Gesang professionell aufnehmen</t>
  </si>
  <si>
    <t>professionally record vocals</t>
  </si>
  <si>
    <t>Matthias Ernst Holzmann</t>
  </si>
  <si>
    <t>Ableton Live - Einstieg in die Musikproduktion</t>
  </si>
  <si>
    <t>Ableton Live - entry ticket to the world</t>
  </si>
  <si>
    <t>Stress abbauen mit dem Gesetz der Anziehung</t>
  </si>
  <si>
    <t>Get rid of stress with the Law of Attraction</t>
  </si>
  <si>
    <t>Filmen mit dem Smartphone</t>
  </si>
  <si>
    <t>Films with smartphone</t>
  </si>
  <si>
    <t>Francis Rafal</t>
  </si>
  <si>
    <t>Medienfachwirt - Digital (IHK) Rechtsbewusstes Handeln</t>
  </si>
  <si>
    <t>Medienfachwirt - Digital (IHK) Legal conscious actions</t>
  </si>
  <si>
    <t>Motivation Masterkurs - Ziele erreichen</t>
  </si>
  <si>
    <t>achieve goals - Motivation Master Course</t>
  </si>
  <si>
    <t>Video-Produktion mit jeder Kamera und Editing in Final Cut</t>
  </si>
  <si>
    <t>Video production with any camera and editing in Final Cut</t>
  </si>
  <si>
    <t>Grundkurs GfK -Gewaltfreie &amp; wertschätzende Kommunikation</t>
  </si>
  <si>
    <t>Basic course GfK -Gewaltfreie &amp; respectful communication</t>
  </si>
  <si>
    <t>Logic Pro X einfach lernen</t>
  </si>
  <si>
    <t>Logic Pro X just learn</t>
  </si>
  <si>
    <t>Wolfram Groh</t>
  </si>
  <si>
    <t>Scrum Master:in (v.2020)</t>
  </si>
  <si>
    <t>Product Owner:in (agile/Scrum - v. 2020)</t>
  </si>
  <si>
    <t>Agiles Projektmanagement mit Scrum, Kanban und OKR</t>
  </si>
  <si>
    <t>Agile Project Management with Scrum, Kanban and OKR</t>
  </si>
  <si>
    <t>Projektmanagement: Best Practices aus 14 Jahren als Berater</t>
  </si>
  <si>
    <t>Project Management: Best Practices from 14 years as a consultant</t>
  </si>
  <si>
    <t>Scrum &amp; Agile Meisterkurs mit Praxisbeispielen und PSM1-Test</t>
  </si>
  <si>
    <t>Scrum &amp; Agile master class with practical examples and PSM1 test</t>
  </si>
  <si>
    <t>Niels Rabe | Agile Coach, Project manager, Scrum Master</t>
  </si>
  <si>
    <t>Business Analyst - agil und klassisch</t>
  </si>
  <si>
    <t>Business Analyst - agile and classic</t>
  </si>
  <si>
    <t>Scrum für Anfänger - Einfach und verständlich erklärt</t>
  </si>
  <si>
    <t>Simply explained and understandable - Scrum for beginners</t>
  </si>
  <si>
    <t>Dominic Krimmer</t>
  </si>
  <si>
    <t>Projektmanagement: Schritt für Schritt erklärt mit Software</t>
  </si>
  <si>
    <t>Project Management: Step by step description with software</t>
  </si>
  <si>
    <t>Die praxisnahe BPMN 2.0 Masterclass</t>
  </si>
  <si>
    <t>The practical BPMN 2.0 Master Class</t>
  </si>
  <si>
    <t>Fabian Hinsenkamp</t>
  </si>
  <si>
    <t>Effektives Supply Chain Management und Logistikstrategien</t>
  </si>
  <si>
    <t>Effective supply chain management and logistics strategies</t>
  </si>
  <si>
    <t>Dustin Beier</t>
  </si>
  <si>
    <t>Scrum, Kanban, Design Thinking - Agile Methoden und Mindset</t>
  </si>
  <si>
    <t>Scrum, Kanban, design thinking - Agile methods and Mindset</t>
  </si>
  <si>
    <t>Jan Reutelsterz</t>
  </si>
  <si>
    <t>Scrum außerhalb der IT: Grundlagen, Tipps und agile Tools</t>
  </si>
  <si>
    <t>Scrum outside the IT Basics, Tips and agile tools</t>
  </si>
  <si>
    <t>David Hillmer</t>
  </si>
  <si>
    <t>Lerne Agiles Projektmanagement und Kanban mit Trello</t>
  </si>
  <si>
    <t>Learn Agile project management and Kanban with Trello</t>
  </si>
  <si>
    <t>SAP ABAP Crashkurs für Anfänger</t>
  </si>
  <si>
    <t>SAP ABAP crash course for beginners</t>
  </si>
  <si>
    <t>OEE-Management</t>
  </si>
  <si>
    <t>SUIT-Management</t>
  </si>
  <si>
    <t>Joern Steinbeck</t>
  </si>
  <si>
    <t>Erfolgreich verhandeln! Verhandlungstraining für Top-Deals</t>
  </si>
  <si>
    <t>Successfully negotiate! Negotiation training for top deals</t>
  </si>
  <si>
    <t>Besser Verkaufen: Das komplette Sales-Training von A bis Z</t>
  </si>
  <si>
    <t>Better Sell: The complete sales training from A to Z</t>
  </si>
  <si>
    <t>Exzellenter Kundenservice - Begeistern Sie Ihre Kunden!</t>
  </si>
  <si>
    <t>Excellent customer service - Inspire your customers!</t>
  </si>
  <si>
    <t>Die Kunst des Pitching - Wie man Ideen präsentiert</t>
  </si>
  <si>
    <t>The art of pitching - How to ideas presented</t>
  </si>
  <si>
    <t>Neukundenakquise - Steigere jetzt Dein Einkommen!</t>
  </si>
  <si>
    <t>Acquisition of new customers - Increase your income now!</t>
  </si>
  <si>
    <t>Lars Krüger</t>
  </si>
  <si>
    <t>Meetings perfekt vorbereiten</t>
  </si>
  <si>
    <t>Preparing meetings perfectly</t>
  </si>
  <si>
    <t>Jenny Meyer</t>
  </si>
  <si>
    <t>Wunschkunden-Strategie - Gewinne leichter Kunden</t>
  </si>
  <si>
    <t>Desired Customer Strategy - Win easier customer</t>
  </si>
  <si>
    <t>Steffen Adler</t>
  </si>
  <si>
    <t>Human Resources Fundamentals</t>
  </si>
  <si>
    <t>Einfach Arbeitsrecht verstehen</t>
  </si>
  <si>
    <t>understand simple labor</t>
  </si>
  <si>
    <t>Recruiting und Bewerbungsmanagement im 21. Jahrhundert</t>
  </si>
  <si>
    <t>Recruiting and Application Management in the 21st Century</t>
  </si>
  <si>
    <t>Einstellungsgespräche und Recruiting-Verfahren von A-Z</t>
  </si>
  <si>
    <t>Interviews and recruiting method of A-Z</t>
  </si>
  <si>
    <t>Onboarding - Einarbeitung für Unternehmen</t>
  </si>
  <si>
    <t>Onboarding - training for companies</t>
  </si>
  <si>
    <t>Katja Krauss</t>
  </si>
  <si>
    <t>Learning &amp; Development</t>
  </si>
  <si>
    <t>Lehrinhalte für Seminare und Vorträge ausarbeiten</t>
  </si>
  <si>
    <t>Teaching content for seminars and lectures work out</t>
  </si>
  <si>
    <t>Train-the-Trainer: Seminareinstieg &amp; Pinnwand-Moderation</t>
  </si>
  <si>
    <t>Train-the-Trainer: Seminar Entry &amp; Wall moderation</t>
  </si>
  <si>
    <t>Ausbilder nach AEVO (IHK)</t>
  </si>
  <si>
    <t>Trainers to AEVO (CCI)</t>
  </si>
  <si>
    <r>
      <rPr>
        <b/>
        <sz val="12"/>
        <color rgb="FFFFFFFF"/>
        <rFont val="arial,sans,sans-serif"/>
      </rPr>
      <t xml:space="preserve">List of International Collection courses in </t>
    </r>
    <r>
      <rPr>
        <b/>
        <u/>
        <sz val="12"/>
        <color rgb="FFFFFFFF"/>
        <rFont val="arial,sans,sans-serif"/>
      </rPr>
      <t>Portuguese</t>
    </r>
  </si>
  <si>
    <t>Total courses: 841</t>
  </si>
  <si>
    <t>AWS para Iniciantes 2020 - Aprenda e Domine a nuvem Amazon</t>
  </si>
  <si>
    <t>AWS 2020 for Beginners - Learn and Master the Amazon cloud</t>
  </si>
  <si>
    <t>Universidade Global</t>
  </si>
  <si>
    <t>AWS para Iniciantes</t>
  </si>
  <si>
    <t>AWS for Beginners</t>
  </si>
  <si>
    <t>Francisco Edilton</t>
  </si>
  <si>
    <t>Microsoft Azure: [Aprenda do Zero]</t>
  </si>
  <si>
    <t>Microsoft Azure: [Learn Zero]</t>
  </si>
  <si>
    <t>Gustavo Henrique Malta Magella</t>
  </si>
  <si>
    <t>Microsoft Azure Cloud para Iniciantes - 2020</t>
  </si>
  <si>
    <t>Microsoft Azure Cloud for Beginners - 2020</t>
  </si>
  <si>
    <t>Andre Iacono | 90.000+ Alunos</t>
  </si>
  <si>
    <t>Google Cloud Para Iniciantes (GCP)- Domine a Nuvem do Google</t>
  </si>
  <si>
    <t>Google Cloud For Beginners (GCP) - Master the Google Cloud</t>
  </si>
  <si>
    <t>Computação em Nuvem (Cloud Computing): Essencial</t>
  </si>
  <si>
    <t>Cloud Computing (Cloud Computing): Essential</t>
  </si>
  <si>
    <t>Geek University</t>
  </si>
  <si>
    <t>Cloud Development</t>
  </si>
  <si>
    <t>Do Zero à Nuvem: API Restful com NodeJS, Restify e MongoDB</t>
  </si>
  <si>
    <t>Zero to Cloud: Restful API with NodeJS, Restify and MongoDB</t>
  </si>
  <si>
    <t>Tarso Bessa</t>
  </si>
  <si>
    <t>DevOps e Scrum com o novo Azure passo á passo na prática</t>
  </si>
  <si>
    <t>DevOps and Scrum with the new Azure step will step in practice</t>
  </si>
  <si>
    <t>Rodrigo Gonçalves Santana</t>
  </si>
  <si>
    <t>Amazon AWS - Criando Servidores Virtuais com EC2 - 2020</t>
  </si>
  <si>
    <t>Amazon AWS - Creating Virtual Servers with EC2 - 2020</t>
  </si>
  <si>
    <t>Escalando uma aplicação na AWS passo a passo</t>
  </si>
  <si>
    <t>Scaling an application step by step on AWS</t>
  </si>
  <si>
    <t>Amazon Web Services: Essencial</t>
  </si>
  <si>
    <t>Amazon Web Services: Essential</t>
  </si>
  <si>
    <t>Microsoft Azure Backup: Proteja seu ambiente</t>
  </si>
  <si>
    <t>Microsoft Azure Backup: Protect your environment</t>
  </si>
  <si>
    <t>Power BI Completo - Do Básico ao Avançado</t>
  </si>
  <si>
    <t>Power BI Full - From Basic to Advanced</t>
  </si>
  <si>
    <t>João Paulo de Lira</t>
  </si>
  <si>
    <t>O curso completo de Banco de Dados e SQL, sem mistérios!</t>
  </si>
  <si>
    <t>The full course database and SQL, without mysteries!</t>
  </si>
  <si>
    <t>Felipe Mafra</t>
  </si>
  <si>
    <t>Apache Kafka para iniciantes</t>
  </si>
  <si>
    <t>Apache Kafka for Beginners</t>
  </si>
  <si>
    <t>Norbert Waage Junior</t>
  </si>
  <si>
    <t>Aprenda SQL do Zero!</t>
  </si>
  <si>
    <t>Learn SQL Zero!</t>
  </si>
  <si>
    <t>Tiago Bacciotti Moreira</t>
  </si>
  <si>
    <t>Formação Engenheiro de Dados: Domine Big Data!</t>
  </si>
  <si>
    <t>Training Data Engineer: Master Big Data!</t>
  </si>
  <si>
    <t>Fernando Amaral</t>
  </si>
  <si>
    <t>Formação Cientista de Dados com Python e R</t>
  </si>
  <si>
    <t>Training Data Scientist with R and Python</t>
  </si>
  <si>
    <t>Machine Learning e Data Science com Python de A a Z</t>
  </si>
  <si>
    <t>Jones Granatyr</t>
  </si>
  <si>
    <t>Master Power BI - De A à Z</t>
  </si>
  <si>
    <t>Master Power BI - A to Z</t>
  </si>
  <si>
    <t>Tableau de A a Z - Modulo I - Business Analytics</t>
  </si>
  <si>
    <t>Fernando Luís Fontes de Castro</t>
  </si>
  <si>
    <t>Qlik Sense Muito Mais que um Dashboard</t>
  </si>
  <si>
    <t>Qlik Sense Much More than a Dashboard</t>
  </si>
  <si>
    <t>Rafael Yoshida Neves</t>
  </si>
  <si>
    <t>Power BI &amp; DAX Avançado - Guia Completo para Análises Reais</t>
  </si>
  <si>
    <t>Power BI &amp; DAX Advanced - Complete Guide to Real Analysis</t>
  </si>
  <si>
    <t>Leonardo Karpinski</t>
  </si>
  <si>
    <t>Tableau para Iniciantes - Business Intelligence</t>
  </si>
  <si>
    <t>Tableau for Beginners - Business Intelligence</t>
  </si>
  <si>
    <t>Julian Cassimiro</t>
  </si>
  <si>
    <t>Manipulação e Análise de Dados com Pandas - Python</t>
  </si>
  <si>
    <t>Manipulation and Data Analysis with Pandas - Python</t>
  </si>
  <si>
    <t>Rafael F. V. C. Santos, Ph.D.</t>
  </si>
  <si>
    <t>Business Intelligence Completo do ETL ao Power BI na Prática</t>
  </si>
  <si>
    <t>Full Business Intelligence ETL to Power BI in Practice</t>
  </si>
  <si>
    <t>André Rosa</t>
  </si>
  <si>
    <t>Estatística para Ciência de Dados e Machine Learning</t>
  </si>
  <si>
    <t>Statistics for Data Science and Machine Learning</t>
  </si>
  <si>
    <t>Curso de Power BI + Dax + Projetos na prática.</t>
  </si>
  <si>
    <t>Course Power BI + Dax + Projects in practice.</t>
  </si>
  <si>
    <t>Curso Completo de Banco de Dados e SQL para Iniciantes</t>
  </si>
  <si>
    <t>Course Database and SQL Complete for Beginners</t>
  </si>
  <si>
    <t>Diego Davila</t>
  </si>
  <si>
    <t>O Curso completo de Business Intelligence com SQL Server</t>
  </si>
  <si>
    <t>Full Course Business Intelligence with SQL Server</t>
  </si>
  <si>
    <t>Formação Analista de Business Intelligence com Power BI</t>
  </si>
  <si>
    <t>Training Business Intelligence Analyst Power BI</t>
  </si>
  <si>
    <t>Academia BI - Analytics</t>
  </si>
  <si>
    <t>Academia Bi - Analytics</t>
  </si>
  <si>
    <t>MSc Grimaldo Lopes de Oliveira</t>
  </si>
  <si>
    <t>Curso de Google Data Studio - Do básico ao avançado!</t>
  </si>
  <si>
    <t>Google Course Data Studio - From basic to advanced!</t>
  </si>
  <si>
    <t>Aylton Inacio</t>
  </si>
  <si>
    <t>Inteligência Artificial e Machine Learning: O Guia Completo</t>
  </si>
  <si>
    <t>Artificial Intelligence and Machine Learning: The Complete Guide</t>
  </si>
  <si>
    <t>Bootcamp Completo em Data Science com Python 2021</t>
  </si>
  <si>
    <t>Bootcamp Complete in Data Science with Python 2021</t>
  </si>
  <si>
    <t>Linguagem R: do zero absoluto ao domínio em menos de 7 horas</t>
  </si>
  <si>
    <t>R Language: absolute zero to the field in less than 7 hours</t>
  </si>
  <si>
    <t>Isaías Lira</t>
  </si>
  <si>
    <t>Super Formação Inteligência Artificial e Machine Learning</t>
  </si>
  <si>
    <t>Super Training Artificial Intelligence and Machine Learning</t>
  </si>
  <si>
    <t>Deep Learning com Python de A a Z - O Curso Completo</t>
  </si>
  <si>
    <t>Deep Learning with Python from A to Z - The Complete Course</t>
  </si>
  <si>
    <t>Data Science e Machine Learning com Estatística e Python</t>
  </si>
  <si>
    <t>Data Science and Machine Learning with Python and Statistics</t>
  </si>
  <si>
    <t>Danilo Moreira</t>
  </si>
  <si>
    <t>Power BI para Data Science: Além da Visualização!</t>
  </si>
  <si>
    <t>Power BI for Data Science: Beyond the View!</t>
  </si>
  <si>
    <t>Métricas para Produtos Digitais</t>
  </si>
  <si>
    <t>Metrics for Digital Products</t>
  </si>
  <si>
    <t>Will Sertório</t>
  </si>
  <si>
    <t>Manual Prático do Deep Learning - Redes Neurais Profundas</t>
  </si>
  <si>
    <t>Deep Learning Practical Guide - Deep Neural Networks</t>
  </si>
  <si>
    <t>Arnaldo Gualberto</t>
  </si>
  <si>
    <t>Matemática para Data Science - Pré-Cálculo</t>
  </si>
  <si>
    <t>Mathematics for Data Science - Pre-Calculus</t>
  </si>
  <si>
    <t>Redes Neurais Artificiais em Python</t>
  </si>
  <si>
    <t>Artificial Neural Networks in Python</t>
  </si>
  <si>
    <t>Python para Data Science do Zero Absoluto ao Domínio em 5h</t>
  </si>
  <si>
    <t>Python for Zero Absolute Science Data Domain to at 5pm</t>
  </si>
  <si>
    <t>Super Academia Estatística - 9 cursos em 1</t>
  </si>
  <si>
    <t>Super Fitness Statistics - 9 courses 1</t>
  </si>
  <si>
    <t>Chatbots com Python e Dialogflow: O Guia para Iniciantes</t>
  </si>
  <si>
    <t>Chatbots with Python and Dialogflow: The Beginners Guide</t>
  </si>
  <si>
    <t>Inteligência Artificial Para Todos com Excel</t>
  </si>
  <si>
    <t>Artificial Intelligence for All with Excel</t>
  </si>
  <si>
    <t>Ciência de Dados para Negócios usando Excel</t>
  </si>
  <si>
    <t>Data Science for Business using Excel</t>
  </si>
  <si>
    <t>Detecção de Objetos com YOLO, Darknet, OpenCV e Python</t>
  </si>
  <si>
    <t>Object Detection with YOLO, Darknet, OpenCV and Python</t>
  </si>
  <si>
    <t>Estatística I (para leigos): aprenda fácil e rápido!</t>
  </si>
  <si>
    <t>Statistics I (to lay): learn easy and fast!</t>
  </si>
  <si>
    <t>Prof. MSc. Uanderson Rébula de Oliveira</t>
  </si>
  <si>
    <t>Machine Learning e Data Science com R de A à Z</t>
  </si>
  <si>
    <t>Aprenda Machine Learning com R + Azure ML Studio + Power BI</t>
  </si>
  <si>
    <t>TensorFlow: Machine Learning e Deep Learning com Python</t>
  </si>
  <si>
    <t>Álgebra Linear com Python</t>
  </si>
  <si>
    <t>Linear Algebra with Python</t>
  </si>
  <si>
    <t>Tensorflow 2.0: Um Guia Completo sobre o novo TensorFlow</t>
  </si>
  <si>
    <t>Tensorflow 2.0: A Complete Guide to the new TensorFlow</t>
  </si>
  <si>
    <t>Tensorflow Portuguese</t>
  </si>
  <si>
    <t>Desenvolvedor Qlikview do Zero</t>
  </si>
  <si>
    <t>Zero QlikView Developer</t>
  </si>
  <si>
    <t>André Prado</t>
  </si>
  <si>
    <t>Machine Learning e Data Science com Weka e Java - Completo</t>
  </si>
  <si>
    <t>Machine Learning and Data Science with Weka and Java - Full</t>
  </si>
  <si>
    <t>Reconhecimento Facial com Python e OpenCV</t>
  </si>
  <si>
    <t>Facial recognition with Python and OpenCV</t>
  </si>
  <si>
    <t>Aprenda Machine Learning em Python com Scikit-learn</t>
  </si>
  <si>
    <t>Learn Machine Learning Python with scikit-learn</t>
  </si>
  <si>
    <t>Ivan Lourenço Gomes</t>
  </si>
  <si>
    <t>Processamento de Linguagem Natural com spaCy e Python</t>
  </si>
  <si>
    <t>Natural Language Processing with Python and SPACY</t>
  </si>
  <si>
    <t>Curso de Aprofundamento em Probabilidade e Estatística</t>
  </si>
  <si>
    <t>Deepening Course in Probability and Statistics</t>
  </si>
  <si>
    <t>Prof. Alexandre Raymundo</t>
  </si>
  <si>
    <t>Inteligência Artificial e Machine Learning com JavaScript</t>
  </si>
  <si>
    <t>Artificial Intelligence and Machine Learning JavaScript</t>
  </si>
  <si>
    <t>Ben-Hur Varriano</t>
  </si>
  <si>
    <t>Fundamentos de Ciência de Dados em Python</t>
  </si>
  <si>
    <t>Data Science Foundations of Python</t>
  </si>
  <si>
    <t>Igor Alcantara</t>
  </si>
  <si>
    <t>Inteligência Artificial: Sistemas de Recomendação em Python</t>
  </si>
  <si>
    <t>Artificial Intelligence: Recommender Systems in Python</t>
  </si>
  <si>
    <t>Detecção de Faces com Python e OpenCV</t>
  </si>
  <si>
    <t>Face Detection with Python and OpenCV</t>
  </si>
  <si>
    <t>Machine Learning in R: Curso Completo de Regressão Linear</t>
  </si>
  <si>
    <t>Machine Learning in R: Linear Regression Complete Course</t>
  </si>
  <si>
    <t>Bootcamp Cientista de Dados: 10 aplicações Web Completas</t>
  </si>
  <si>
    <t>Bootcamp Data Scientist: 10 Web applications Complete</t>
  </si>
  <si>
    <t>Processamento de Linguagem Natural com Deep Learning</t>
  </si>
  <si>
    <t>Natural Language Processing with Deep Learning</t>
  </si>
  <si>
    <t>Modern NLP Portuguese</t>
  </si>
  <si>
    <t>Formação Engenheiro de Deep Learning e Machine Learning</t>
  </si>
  <si>
    <t>Training Engineer Deep Learning and Machine Learning</t>
  </si>
  <si>
    <t>Deep Learning A-Z Portuguese</t>
  </si>
  <si>
    <t>Reconhecimento Facial com Java</t>
  </si>
  <si>
    <t>Facial recognition with Java</t>
  </si>
  <si>
    <t>Derivadas: aprenda do zero ao avançado e domine o assunto</t>
  </si>
  <si>
    <t>Derivative: learn from scratch to advanced and master it</t>
  </si>
  <si>
    <t>Fabiano Meira de Moura Luz</t>
  </si>
  <si>
    <t>Cálculo Integral - aprenda do zero ao avançado</t>
  </si>
  <si>
    <t>Integral Calculus - learn from scratch to advanced</t>
  </si>
  <si>
    <t>TensorFlow, Deep Learning e Python: Construa um Chatbot</t>
  </si>
  <si>
    <t>TensorFlow, and Deep Learning Python: Build a Chatbot</t>
  </si>
  <si>
    <t>Nlp Settings</t>
  </si>
  <si>
    <t>Mineração de Emoção em Textos com Python e NLTK</t>
  </si>
  <si>
    <t>Emotion Mining in texts with Python and NLTK</t>
  </si>
  <si>
    <t>Detecção de Faces com Java e OpenCV</t>
  </si>
  <si>
    <t>Face Detection with Java and OpenCV</t>
  </si>
  <si>
    <t>Data Science: Correlação no R, do zero ao avançado em 5h</t>
  </si>
  <si>
    <t>Data Science: Correlation in R, from scratch to advanced at 5pm</t>
  </si>
  <si>
    <t>Reconhecimento de Faces e de Objetos com Python e Dlib</t>
  </si>
  <si>
    <t>Face recognition and objects with Python and Dlib</t>
  </si>
  <si>
    <t>Séries Temporais e Análises Preditivas: O Curso Completo</t>
  </si>
  <si>
    <t>Time Series and Predictive Analytics: The Complete Course</t>
  </si>
  <si>
    <t>Inteligência Artificial aplicada para Empresas e Negócios</t>
  </si>
  <si>
    <t>Artificial Intelligence Applied to Business and Business</t>
  </si>
  <si>
    <t>AI4B Portuguese</t>
  </si>
  <si>
    <t>Mineração de Regras de Associação com Python, Apriori e SQL</t>
  </si>
  <si>
    <t>Association Rules Mining with Python, Apriori and SQL</t>
  </si>
  <si>
    <t>Testes de Hipóteses: Comparação de Dois Grupos em SPSS</t>
  </si>
  <si>
    <t>Hypothesis Testing: Comparison of Two Groups in SPSS</t>
  </si>
  <si>
    <t>Algoritmos Genéticos em Python</t>
  </si>
  <si>
    <t>Genetic algorithms in Python</t>
  </si>
  <si>
    <t>Introdução à Estatística para Data Science em R -Casos Reais</t>
  </si>
  <si>
    <t>Introduction to Statistics for Data Science R -Casos Reais</t>
  </si>
  <si>
    <t>TABLEAU 2018: Treinamento de Tableau para Data Scientists</t>
  </si>
  <si>
    <t>TABLEAU 2018: Tableau Training for Data Scientists</t>
  </si>
  <si>
    <t>Tableau Protuguese</t>
  </si>
  <si>
    <t>SQL para Profissionais Analíticos</t>
  </si>
  <si>
    <t>SQL Analytical for Professionals</t>
  </si>
  <si>
    <t>Mauricio Boesche</t>
  </si>
  <si>
    <t>Ciência de Dados para Empresas e Negócios</t>
  </si>
  <si>
    <t>Data Science for Business and Business</t>
  </si>
  <si>
    <t>Data Science for Business Portuguese</t>
  </si>
  <si>
    <t>Formação Microsoft Power BI Profissional</t>
  </si>
  <si>
    <t>Microsoft Power BI Vocational Training</t>
  </si>
  <si>
    <t>Business Intelligence com Power BI - Estudos de Caso</t>
  </si>
  <si>
    <t>Business Intelligence Power with BI - Case Studies</t>
  </si>
  <si>
    <t>Algoritmos Inteligentes de Busca com Python</t>
  </si>
  <si>
    <t>Search Intelligent algorithms with Python</t>
  </si>
  <si>
    <t>Algoritmos Genéticos em Java</t>
  </si>
  <si>
    <t>Genetic Algorithms in Java</t>
  </si>
  <si>
    <t>Algoritmos Genéticos em R</t>
  </si>
  <si>
    <t>Genetic algorithms in R</t>
  </si>
  <si>
    <t>Detecção de Objetos com Python e OpenCV</t>
  </si>
  <si>
    <t>Object Detection with Python and OpenCV</t>
  </si>
  <si>
    <t>Python: Do básico à Integral e Derivada</t>
  </si>
  <si>
    <t>Python: Do the basic Integral and Derivative</t>
  </si>
  <si>
    <t>Rodolfo Cruz da Silva</t>
  </si>
  <si>
    <t>Inteligência Artificial: Algoritmos de Otimização em Python</t>
  </si>
  <si>
    <t>Artificial Intelligence: Optimization algorithms in Python</t>
  </si>
  <si>
    <t>Curso Completo: SQL para Análise de Dados</t>
  </si>
  <si>
    <t>Full course: SQL for Data Analysis</t>
  </si>
  <si>
    <t>Caio Avelino</t>
  </si>
  <si>
    <t>Inteligência Artificial: Buscas em Textos com Python</t>
  </si>
  <si>
    <t>Artificial Intelligence: searches in texts with Python</t>
  </si>
  <si>
    <t>Visualização de Dados-Data Science: R Markdown e Dashboard</t>
  </si>
  <si>
    <t>Data-Data visualization Science: R Markdown and Dashboard</t>
  </si>
  <si>
    <t>Reconhecimento de Gestos e Ações com Python e OpenCV</t>
  </si>
  <si>
    <t>Recognition of gestures and actions with Python and OpenCV</t>
  </si>
  <si>
    <t>Reconhecimento de Emoções com TensorFlow 2.0 e Python</t>
  </si>
  <si>
    <t>Emotions recognition with TensorFlow 2.0 and Python</t>
  </si>
  <si>
    <t>Rastreamento de Objetos com Python e OpenCV</t>
  </si>
  <si>
    <t>Object Tracking with Python and OpenCV</t>
  </si>
  <si>
    <t>Mineração de Regras de Associação com Weka, Apriori e Java</t>
  </si>
  <si>
    <t>Association rules mining with Weka, Apriori and Java</t>
  </si>
  <si>
    <t>Aprendizagem por Reforço com Augmented Random Search (ARS)</t>
  </si>
  <si>
    <t>Reinforcement Learning random search with augmented (ARS)</t>
  </si>
  <si>
    <t>AI 2018 Portuguese</t>
  </si>
  <si>
    <t>Deep Learning de A à Z com PyTorch e Python</t>
  </si>
  <si>
    <t>Deep Learning from A to Z and Python with PyTorch</t>
  </si>
  <si>
    <t>Formação Cientista de Dados II: Tópicos Avançados</t>
  </si>
  <si>
    <t>Scientist Training II Data: Advanced Topics</t>
  </si>
  <si>
    <t>UX &amp; Design Thinking: Experiência do Usuário nos negócios</t>
  </si>
  <si>
    <t>UX &amp; Design Thinking: User Experience in business</t>
  </si>
  <si>
    <t>Leandro Rezende</t>
  </si>
  <si>
    <t>Curso Design Gráfico COMPLETO - 9 Cursos do Zero ao Avançado</t>
  </si>
  <si>
    <t>Course Design FULL Chart - 9 Zero to Advanced Courses</t>
  </si>
  <si>
    <t>André Fontenelle</t>
  </si>
  <si>
    <t>Figma: Design colaborativo do básico ao protótipo responsivo</t>
  </si>
  <si>
    <t>Figma: Design Collaborative basic Responsive prototype</t>
  </si>
  <si>
    <t>UX Design de A à Z: tudo sobre experiência do usuário</t>
  </si>
  <si>
    <t>UX Design from A to Z: all about the user experience</t>
  </si>
  <si>
    <t>Chaiane Thiesen Bitelo</t>
  </si>
  <si>
    <t>REST APIs com Python e Flask</t>
  </si>
  <si>
    <t>REST APIs with Python and Flask</t>
  </si>
  <si>
    <t>UI Design: Design de Interfaces com foco em Projetos Web</t>
  </si>
  <si>
    <t>UI Design: Interface Design with focus on Web Projects</t>
  </si>
  <si>
    <t>Lucas Assis</t>
  </si>
  <si>
    <t>CURSO DE PHOTOSHOP COMPLETO - DO BÁSICO AO AVANÇADO</t>
  </si>
  <si>
    <t>FULL PHOTOSHOP COURSE - BASIC TO ADVANCED</t>
  </si>
  <si>
    <t>Professor Willian</t>
  </si>
  <si>
    <t>Adobe XD: UI Design do básico aos protótipos (Windows e Mac)</t>
  </si>
  <si>
    <t>Adobe XD: UI design to basic prototypes (Windows and Mac)</t>
  </si>
  <si>
    <t>Curso Completo de Design de Interface</t>
  </si>
  <si>
    <t>Full course Interface Design</t>
  </si>
  <si>
    <t>Jamilton Damasceno</t>
  </si>
  <si>
    <t>Teoria da Cor para processo criativo em Design e Publicidade</t>
  </si>
  <si>
    <t>Color Theory for creative process in Design and Advertising</t>
  </si>
  <si>
    <t>Bruno Alecrim</t>
  </si>
  <si>
    <t>Photoshop CC COMPLETO - Design Gráfico do Zero ao Avançado</t>
  </si>
  <si>
    <t>Photoshop CC FULL - Design Zero graph to Advanced</t>
  </si>
  <si>
    <t>Viana Patricio</t>
  </si>
  <si>
    <t>Formação em Design Gráfico com Corel Draw.</t>
  </si>
  <si>
    <t>Training in Graphic Design with Corel Draw.</t>
  </si>
  <si>
    <t>Othon Moraes</t>
  </si>
  <si>
    <t>Curso Blender 2.8 | Aprenda 3D do Zero!</t>
  </si>
  <si>
    <t>Course Blender 2.8 | Learn 3D Zero!</t>
  </si>
  <si>
    <t>Daniel Franco</t>
  </si>
  <si>
    <t>Edição de Vídeo para Iniciantes - Saindo do zero</t>
  </si>
  <si>
    <t>Video Editing for Beginners - zero Leaving</t>
  </si>
  <si>
    <t>Israel Menezes</t>
  </si>
  <si>
    <t>Telinhas Bonitas Express: UI Design com referências visuais</t>
  </si>
  <si>
    <t>Beautiful small screen Express: UI Design with visual references</t>
  </si>
  <si>
    <t>Como Editar Vídeos - Módulo Básico - SUB Español</t>
  </si>
  <si>
    <t>Editing videos - Basic Module - SUB Spanish</t>
  </si>
  <si>
    <t>Juliana Finamore</t>
  </si>
  <si>
    <t>HTML5 e CSS3: Técnicas Avançadas (Com Flexbox e 5 Projetos)</t>
  </si>
  <si>
    <t>HTML5 and CSS3: Advanced Techniques (With Flexbox and 5 Projects)</t>
  </si>
  <si>
    <t>Matheus Battisti</t>
  </si>
  <si>
    <t>Adobe Lightroom CC Classic 2020 - fácil e descomplicado</t>
  </si>
  <si>
    <t>Adobe Lightroom DC Classic 2020 - easy and uncomplicated</t>
  </si>
  <si>
    <t>Ricardo Costa</t>
  </si>
  <si>
    <t>Formação Completa no AutoCAD 2D e 3D</t>
  </si>
  <si>
    <t>Full training in 2D and 3D AutoCAD</t>
  </si>
  <si>
    <t>Ronaldo Carreta</t>
  </si>
  <si>
    <t>UX Design Rápido e Prático</t>
  </si>
  <si>
    <t>UX Design Fast and Practical</t>
  </si>
  <si>
    <t>Bruno Coutinho</t>
  </si>
  <si>
    <t>Photoshop 2020 e 2021 - Design Gráfico e Redes Sociais</t>
  </si>
  <si>
    <t>Photoshop 2020 and 2021 - Graphic Design and Social Networks</t>
  </si>
  <si>
    <t>Caroll Bulcão</t>
  </si>
  <si>
    <t>DESIGN SPRINT: Curso Completo para Formação de Facilitadores</t>
  </si>
  <si>
    <t>SPRINT DESIGN: Complete Course for Facilitators Training</t>
  </si>
  <si>
    <t>beWOW Treinamentos e Facilitação</t>
  </si>
  <si>
    <t>ADOBE PREMIERE CC - DO BÁSICO AO AVANÇADO</t>
  </si>
  <si>
    <t>ADOBE PREMIERE DC - BASIC TO ADVANCED</t>
  </si>
  <si>
    <t>Curso Completo de Design Gráfico com Adobe Illustrator</t>
  </si>
  <si>
    <t>Full course of Graphic Design with Adobe Illustrator</t>
  </si>
  <si>
    <t>Design Gráfico Completo ULTIMATE - 8 cursos</t>
  </si>
  <si>
    <t>Full Graphic Design ULTIMATE - 8 courses</t>
  </si>
  <si>
    <t>Formação em SketchUp</t>
  </si>
  <si>
    <t>SketchUp Training</t>
  </si>
  <si>
    <t>Curso de EDIÇÃO DE VÍDEO - Do básico até o avançado!</t>
  </si>
  <si>
    <t>Course VIDEO EDITING - From basic to advanced!</t>
  </si>
  <si>
    <t>Curso de Edição de Vídeo com Vegas Pro</t>
  </si>
  <si>
    <t>Video Editing Course with Vegas Pro</t>
  </si>
  <si>
    <t>João Pedro Franco</t>
  </si>
  <si>
    <t>Social Media Design com Photoshop</t>
  </si>
  <si>
    <t>Nilson Nolasco - Nmotion Cursos</t>
  </si>
  <si>
    <t>Game Design</t>
  </si>
  <si>
    <t>Design &amp; Criação de Personagens</t>
  </si>
  <si>
    <t>Design &amp; Character Creation</t>
  </si>
  <si>
    <t>Dado Almeida</t>
  </si>
  <si>
    <t>Crie seu personagem 3D completo no Blender!</t>
  </si>
  <si>
    <t>Create your character in full 3D Blender!</t>
  </si>
  <si>
    <t>Guilherme Gusmão de Freitas</t>
  </si>
  <si>
    <t>Curso Completo de Adobe XD</t>
  </si>
  <si>
    <t>Full course of Adobe XD</t>
  </si>
  <si>
    <t>Edição de fotos e imagens no Photoshop</t>
  </si>
  <si>
    <t>Edit photos and images in Photoshop</t>
  </si>
  <si>
    <t>Helinton Andruchechen</t>
  </si>
  <si>
    <t>A arte de criar marcas e logotipos</t>
  </si>
  <si>
    <t>The art of creating brands and logos</t>
  </si>
  <si>
    <t>Adobe Premiere Pro CC em 90 Minutos</t>
  </si>
  <si>
    <t>Adobe Premiere Pro CC in 90 Minutes</t>
  </si>
  <si>
    <t>Afonso Malheiro</t>
  </si>
  <si>
    <t>Design Gráfico e Visual de Alto Nível  - Segredos e Técnicas</t>
  </si>
  <si>
    <t>Design High Visual and Graphic level - Secrets and Techniques</t>
  </si>
  <si>
    <t>Marcos Schmitt</t>
  </si>
  <si>
    <t>ADOBE ILLUSTRATOR CC 2018 / 2019 - DO BÁSICO AO AVANÇADO</t>
  </si>
  <si>
    <t>ADOBE ILLUSTRATOR CC 2018/2019 - BASIC TO ADVANCED</t>
  </si>
  <si>
    <t>WordPress - Curso Como Criar Site com Design Moderno</t>
  </si>
  <si>
    <t>WordPress - Course Creating Site Design with Modern</t>
  </si>
  <si>
    <t>After Effects para Motion designers: Do zero ao mercado</t>
  </si>
  <si>
    <t>After Effects Motion for designers: From zero to market</t>
  </si>
  <si>
    <t>Yogo Costa</t>
  </si>
  <si>
    <t>Maya - Design e Criação de Personagens 3D</t>
  </si>
  <si>
    <t>Maya - Design and 3D Character Creation</t>
  </si>
  <si>
    <t>Ismael Lito</t>
  </si>
  <si>
    <t>Sketch: UI Design do básico aos protótipos responsivos</t>
  </si>
  <si>
    <t>Sketch: UI Design Responsive to basic prototypes</t>
  </si>
  <si>
    <t>Aprenda SketchUP, do básico ao avançado.</t>
  </si>
  <si>
    <t>Learn SketchUp, from basic to advanced.</t>
  </si>
  <si>
    <t>Alexandre Venancio Martins</t>
  </si>
  <si>
    <t>Edição de Vídeo Profissional com Camtasia</t>
  </si>
  <si>
    <t>Professional Video Editing with Camtasia</t>
  </si>
  <si>
    <t>SOLIDWORKS | Do básico ao ESPECIALISTA | Produtos e Moldes</t>
  </si>
  <si>
    <t>SolidWorks | From basic to EXPERT | Products and Mold</t>
  </si>
  <si>
    <t>Jonathan Ribeiro</t>
  </si>
  <si>
    <t>Produção e Edição de Vídeos com Camtasia Studio 9.</t>
  </si>
  <si>
    <t>Production and Video Editing with Camtasia Studio 9.</t>
  </si>
  <si>
    <t>Pixel Art para games de forma descomplicada</t>
  </si>
  <si>
    <t>Pixel Art for game uncomplicated</t>
  </si>
  <si>
    <t>Wiliam Nascimento</t>
  </si>
  <si>
    <t>Substance Painter2 e Modelagem de Assets para Jogos AAA</t>
  </si>
  <si>
    <t>Substance Painter2 and Assets Modeling for AAA games</t>
  </si>
  <si>
    <t>Danilo Castagine</t>
  </si>
  <si>
    <t>ZBrush Completo para iniciantes de modelagem e escultura</t>
  </si>
  <si>
    <t>Full ZBrush for modeling and sculpture beginners</t>
  </si>
  <si>
    <t>Camtasia : Crie Vídeos para Youtube, Cursos e Muito Mais</t>
  </si>
  <si>
    <t>Camtasia: Create videos to Youtube, Courses and More</t>
  </si>
  <si>
    <t>Paulo Andrade, Ph.D.</t>
  </si>
  <si>
    <t>Motion Graphics com Cinema 4D</t>
  </si>
  <si>
    <t>Anderson Silva</t>
  </si>
  <si>
    <t>Adobe Photoshop 2020 Completo - do Iniciante ao Avançado</t>
  </si>
  <si>
    <t>Adobe Photoshop Full 2020 - from Beginner to Advanced</t>
  </si>
  <si>
    <t>Thiago Christo</t>
  </si>
  <si>
    <t>Criação de Artes para Jogos - Cenários, Personagens e Outras</t>
  </si>
  <si>
    <t>Arts Creation Games - Scenarios, Characters and Other</t>
  </si>
  <si>
    <t>Renato Ikeuchi</t>
  </si>
  <si>
    <t>Invision Studio: do básico às telas responsivas e animações</t>
  </si>
  <si>
    <t>Invision Studio: basic to responsive screens and animations</t>
  </si>
  <si>
    <t>Criando REST API com Laravel 5.7</t>
  </si>
  <si>
    <t>Creating REST API with Laravel 5.7</t>
  </si>
  <si>
    <t>Hcode Treinamentos</t>
  </si>
  <si>
    <t>Adobe Photoshop Definitivo - Foco em design e criatividade.</t>
  </si>
  <si>
    <t>Adobe Photoshop Final - Focus on design and creativity.</t>
  </si>
  <si>
    <t>3ds Max : Aprenda 3D Studio Max do Básico ao Avançado</t>
  </si>
  <si>
    <t>3ds Max: Learn 3D Studio Max from Basic to Advanced</t>
  </si>
  <si>
    <t>After Effects CC 2019 - Do Básico ao Avançado</t>
  </si>
  <si>
    <t>After Effects CC 2019 - From Basic to Advanced</t>
  </si>
  <si>
    <t>After Effects: Animando Personagens do Zero ao Mercado</t>
  </si>
  <si>
    <t>After Effects: Animating Characters Zero to Market</t>
  </si>
  <si>
    <t>Blender 2.8 Formação Master Completa.</t>
  </si>
  <si>
    <t>Blender 2.8 Training Master Full.</t>
  </si>
  <si>
    <t>Luiz Henrique D'Almeida</t>
  </si>
  <si>
    <t>Pipeline Completo Arte 3D para Games</t>
  </si>
  <si>
    <t>Pipeline Full 3D Art for Video Games</t>
  </si>
  <si>
    <t>Glauco Longhi</t>
  </si>
  <si>
    <t>CURSO DE ADOBE XD 2021 COMPLETO E ATUALIZADO - UI/UX DESIGN</t>
  </si>
  <si>
    <t>ADOBE XD 2021 COURSE COMPLETE AND UPDATED - UI / UX DESIGN</t>
  </si>
  <si>
    <t>Lucas Marte</t>
  </si>
  <si>
    <t>Modelagem para Jogos com Blender 3D</t>
  </si>
  <si>
    <t>Modeling for Games with Blender 3D</t>
  </si>
  <si>
    <t>José Augusto Thomas</t>
  </si>
  <si>
    <t>Curso 3ds Max : Design e Criação de Personagens 3D</t>
  </si>
  <si>
    <t>Course 3ds Max Design and 3D Character Creation</t>
  </si>
  <si>
    <t>Leandro Meirelles</t>
  </si>
  <si>
    <t>Curso De Revit | Modelagem e Documentação De Projetos</t>
  </si>
  <si>
    <t>Revit Course | Modeling and Project Documentation</t>
  </si>
  <si>
    <t>Renato Martins da Gama</t>
  </si>
  <si>
    <t>Revit Para Iniciantes</t>
  </si>
  <si>
    <t>Revit for Beginners</t>
  </si>
  <si>
    <t>Curso 3ds Max: Maquetes 3D, do Básico ao Avançado com Arnold</t>
  </si>
  <si>
    <t>3ds Max Course: 3D Models, Basic to Advanced Arnold</t>
  </si>
  <si>
    <t>After Effects Definitivo em 30 Dias para Motion Designers</t>
  </si>
  <si>
    <t>After Effects Final 30 Days for Motion Designers</t>
  </si>
  <si>
    <t>Design Sprint</t>
  </si>
  <si>
    <t>Luis Fernando</t>
  </si>
  <si>
    <t>Blender 2.80 + e Krita para jogos e animação</t>
  </si>
  <si>
    <t>Blender 2.80 + and Krita for games and animation</t>
  </si>
  <si>
    <t>Manassés Feliciano</t>
  </si>
  <si>
    <t>Illustrator CC 2020 Completo - Do Iniciante ao Avançado</t>
  </si>
  <si>
    <t>Illustrator CC 2020 Full - From Beginner to Advanced</t>
  </si>
  <si>
    <t>Autodesk Maya : Design 3D do Básico ao Avançado Rápido</t>
  </si>
  <si>
    <t>Autodesk Maya: 3D Design Basic to Advanced Fast</t>
  </si>
  <si>
    <t>3ds Max: Curso Completo de Rigging Facial e Corporal</t>
  </si>
  <si>
    <t>3ds Max: Complete Course Rigging Facial and Body</t>
  </si>
  <si>
    <t>Diagramação de Revistas: Completo do digital ao Impresso</t>
  </si>
  <si>
    <t>Diagramming Magazines: Full digital to printed</t>
  </si>
  <si>
    <t>Luis Eduardo de Souza</t>
  </si>
  <si>
    <t>Maya - Animação 3D do básico ao avançado com o Homem-Aranha</t>
  </si>
  <si>
    <t>Maya - 3D Animation basic to advanced with Spider-Man</t>
  </si>
  <si>
    <t>Curso Blender 2.8 | Maquete de Interiores com Cycles</t>
  </si>
  <si>
    <t>Course Blender 2.8 | Mockup interiors with Cycles</t>
  </si>
  <si>
    <t>Curso Adobe XD DEFINITIVO - UI / UX Design de interação</t>
  </si>
  <si>
    <t>Course Adobe XD DEFINITIVE - UI / UX Design interaction</t>
  </si>
  <si>
    <t>Revit 2020 : Do Básico ao Avançado Rápido com V-Ray e Lumion</t>
  </si>
  <si>
    <t>Revit 2020: From Basic to Advanced Fast with V-Ray and Lumion</t>
  </si>
  <si>
    <t>Curso de Design Responsivo</t>
  </si>
  <si>
    <t>Responsive Design Course</t>
  </si>
  <si>
    <t>Ronaldo Aires</t>
  </si>
  <si>
    <t>Design Gráfico - Fechamento de Arquivos em PDF</t>
  </si>
  <si>
    <t>Graphic Design - File Lock PDF</t>
  </si>
  <si>
    <t>Everton Henrique</t>
  </si>
  <si>
    <t>Photoshop cc 2019 / 2020 - Do Básico ao Avançado</t>
  </si>
  <si>
    <t>Photoshop cc 2019/2020 - From Basic to Advanced</t>
  </si>
  <si>
    <t>Adobe Illustrator 2021 : Do Zero Aos Recursos Mais Avançados</t>
  </si>
  <si>
    <t>Adobe Illustrator 2021: From Zero To More Advanced Features</t>
  </si>
  <si>
    <t>Corel Draw Master - Do básico ao avançado</t>
  </si>
  <si>
    <t>Corel Draw Master - From basic to advanced</t>
  </si>
  <si>
    <t>Lucas Alvarenga de Souza</t>
  </si>
  <si>
    <t>Lightroom Classic CC 2017 Completo do Iniciante ao Avançado</t>
  </si>
  <si>
    <t>Lightroom Classic CC 2017 Complete Beginner to Advanced</t>
  </si>
  <si>
    <t>Design Gráfico DEFINITIVO e PRÁTICO+Illustrator 3D  2 cursos</t>
  </si>
  <si>
    <t>Design and Graphic DEFINITIVE PRACTICAL + Illustrator 3D 2 courses</t>
  </si>
  <si>
    <t>Curso Básico de Substance Painter</t>
  </si>
  <si>
    <t>Basic Course Substance Painter</t>
  </si>
  <si>
    <t>Eduardo Cavalcante</t>
  </si>
  <si>
    <t>Curso completo de colagem digital</t>
  </si>
  <si>
    <t>full course of digital collage</t>
  </si>
  <si>
    <t>Bárbara Siewert</t>
  </si>
  <si>
    <t>SketchUp para a Web 2020</t>
  </si>
  <si>
    <t>SketchUp for Web 2020</t>
  </si>
  <si>
    <t>Maycon Del Piero da Silva</t>
  </si>
  <si>
    <t>Especialista em AutoCAD</t>
  </si>
  <si>
    <t>Expert in AutoCAD</t>
  </si>
  <si>
    <t>Cleber Reis</t>
  </si>
  <si>
    <t>Indesign CC 2017, 2018 Completo - do Iniciante ao Avançado</t>
  </si>
  <si>
    <t>Indesign CC 2017 2018 Full - from Beginner to Advanced</t>
  </si>
  <si>
    <t>Criação de personagens para jogos. (Básico ao Avançado)</t>
  </si>
  <si>
    <t>character creation for games. (Basic to Advanced)</t>
  </si>
  <si>
    <t>Miguel Paes</t>
  </si>
  <si>
    <t>Especialista em Design Gráfico</t>
  </si>
  <si>
    <t>Expert in Graphic Design</t>
  </si>
  <si>
    <t>Adobe Illustrator CC 2020 - O curso mais completo de design</t>
  </si>
  <si>
    <t>Adobe Illustrator CC 2020 - The most comprehensive course design</t>
  </si>
  <si>
    <t>Marcos Fabiano Ferreira Nunes</t>
  </si>
  <si>
    <t>Design Gráfico: Adobe CC 2019 + projetos do início ao fim</t>
  </si>
  <si>
    <t>Graphic Design: Adobe CC 2019 + projects from start to finish</t>
  </si>
  <si>
    <t>Curso Básico de Adobe Photoshop CC para 3D e Design de Games</t>
  </si>
  <si>
    <t>Basic Course Adobe Photoshop CC for 3D design and Games</t>
  </si>
  <si>
    <t>Tito Petri</t>
  </si>
  <si>
    <t>Curso de ZBrush - Introdução ao ZModeler</t>
  </si>
  <si>
    <t>ZBrush Course - Introduction to ZModeler</t>
  </si>
  <si>
    <t>Clovis Silva</t>
  </si>
  <si>
    <t>Adobe Photoshop para sublimação e produtos personalizados.</t>
  </si>
  <si>
    <t>Adobe Photoshop for sublimation and customized products.</t>
  </si>
  <si>
    <t>Tenda 7 Cursos</t>
  </si>
  <si>
    <t>Curso de Desenho Vetorial no Adobe Ilustrator</t>
  </si>
  <si>
    <t>Vector Drawing course in Adobe Illustrator</t>
  </si>
  <si>
    <t>Samuel Pedro Borges</t>
  </si>
  <si>
    <t>Curso de Adobe XD ANIMAÇÕES TOP - UI UX Design Profissional</t>
  </si>
  <si>
    <t>Course Adobe XD ANIMATIONS TOP - UI UX Design Professional</t>
  </si>
  <si>
    <t>Java COMPLETO 2020 Programação Orientada a Objetos +Projetos</t>
  </si>
  <si>
    <t>COMPLETE 2020 Java Object Oriented Programming + Projects</t>
  </si>
  <si>
    <t>Nelio Alves</t>
  </si>
  <si>
    <t>Programação em Python do básico ao avançado</t>
  </si>
  <si>
    <t>Python programming from basic to advanced</t>
  </si>
  <si>
    <t>API RESTful com SpringBoot</t>
  </si>
  <si>
    <t>Ricardo Lecheta</t>
  </si>
  <si>
    <t>DevOps Ninja: Docker, Kubernetes e Rancher</t>
  </si>
  <si>
    <t>Jonathan Dias Baraldi</t>
  </si>
  <si>
    <t>Docker: Ferramenta essencial para Desenvolvedores</t>
  </si>
  <si>
    <t>Docker: Essential Tool for Developers</t>
  </si>
  <si>
    <t>Leonardo Moura Leitao</t>
  </si>
  <si>
    <t>Curso de Python 3 do Básico Ao Avançado (com projetos reais)</t>
  </si>
  <si>
    <t>Python 3 course from beginner to advanced (with real projects)</t>
  </si>
  <si>
    <t>Luiz Otávio Miranda</t>
  </si>
  <si>
    <t>Curso Web Moderno Completo com JavaScript 2020 + Projetos</t>
  </si>
  <si>
    <t>Travel Web Modern Complete with JavaScript + 2020 Projects</t>
  </si>
  <si>
    <t>C# COMPLETO 2020 Programação Orientada a Objetos + Projetos</t>
  </si>
  <si>
    <t>C # 2020 FULL Object Oriented Programming + Projects</t>
  </si>
  <si>
    <t>Git Completo: Do Básico ao Avançado</t>
  </si>
  <si>
    <t>Full git: From Basic to Advanced</t>
  </si>
  <si>
    <t>Gabriel Ferrari</t>
  </si>
  <si>
    <t>Microsserviços Java com Spring Boot e Spring Cloud</t>
  </si>
  <si>
    <t>Spring Boot, Hibernate, REST, Ionic, JWT, S3, MySQL, MongoDB</t>
  </si>
  <si>
    <t>Testes unitários em JAVA: Domine JUnit, Mockito e TDD</t>
  </si>
  <si>
    <t>unit testing in Java: Master JUnit, Mockito and TDD</t>
  </si>
  <si>
    <t>Francisco Wagner Costa Aquino</t>
  </si>
  <si>
    <t>Testes Automáticos + Curso COMPLETO de Teste de Software</t>
  </si>
  <si>
    <t>Testing Automatic + Stroke FULL of Software Testing</t>
  </si>
  <si>
    <t>Gustavo Farias</t>
  </si>
  <si>
    <t>NodeJs, Typescript, TDD, Clean Architecture e SOLID</t>
  </si>
  <si>
    <t>Rodrigo Manguinho</t>
  </si>
  <si>
    <t>Desenvolvimento Web Completo 2020 - 20 cursos + 20 projetos</t>
  </si>
  <si>
    <t>Web Development Full 2020-20 courses + 20 projects</t>
  </si>
  <si>
    <t>Jorge Sant Ana</t>
  </si>
  <si>
    <t>Java 2020 COMPLETO: Do Zero ao Profissional + Projetos!</t>
  </si>
  <si>
    <t>Java 2020 FULL: From Zero to Professional Projects +!</t>
  </si>
  <si>
    <t>Formação Angular 11 - Integração com API Restful Java/Spring</t>
  </si>
  <si>
    <t>Training Angle 11 - Restful API Integration with Java / Spring</t>
  </si>
  <si>
    <t>Marcio Casale de Souza</t>
  </si>
  <si>
    <t>Construindo Aplicações Web Com o Novo Angular (4, 5 e 6)</t>
  </si>
  <si>
    <t>Building Web Applications With New Angle (4, 5 and 6)</t>
  </si>
  <si>
    <t>ReactJS, Hooks, Recoil, TDD, Clean Architecture, SOLID</t>
  </si>
  <si>
    <t>Desenvolvimento de Aplicativos Android usando Kotlin</t>
  </si>
  <si>
    <t>Android Application Development using Kotlin</t>
  </si>
  <si>
    <t>Curso Oracle Developer SQL e PL/SQL.</t>
  </si>
  <si>
    <t>Java primeiros passos: Lógica de Programação e Algoritmos</t>
  </si>
  <si>
    <t>Java started: Logic Programming and Algorithms</t>
  </si>
  <si>
    <t>Integração contínua com testes, utilizando Jenkins</t>
  </si>
  <si>
    <t>Continuous integration tests using Jenkins</t>
  </si>
  <si>
    <t>Formação Node.js</t>
  </si>
  <si>
    <t>Node.js training</t>
  </si>
  <si>
    <t>Guia do programador</t>
  </si>
  <si>
    <t>Entendendo e documentando REST / RESTful APIs</t>
  </si>
  <si>
    <t>Understanding and documenting REST / RESTful APIs</t>
  </si>
  <si>
    <t>Jackson Pires</t>
  </si>
  <si>
    <t>Seja Full-Stack com Asp.NET Core Web API, Angular e EF Core</t>
  </si>
  <si>
    <t>Be Full-Stack with Asp.NET Core Web API, Angle and EF Core</t>
  </si>
  <si>
    <t>Vinícius de Andrade ✅</t>
  </si>
  <si>
    <t>Spring Boot Expert: JPA, RESTFul API, Security, JWT e Mais</t>
  </si>
  <si>
    <t>Dougllas Sousa</t>
  </si>
  <si>
    <t>JavaScript - Curso COMPLETO com 6 Projetos REAIS</t>
  </si>
  <si>
    <t>JavaScript - COMPLETE course with 6 REAL Project</t>
  </si>
  <si>
    <t>Criação de Apps Android e iOS com Flutter - Crie 16 Apps</t>
  </si>
  <si>
    <t>Android Apps Creation and iOS with Flutter - Create 16 Apps</t>
  </si>
  <si>
    <t>Daniel Ciolfi</t>
  </si>
  <si>
    <t>Curso React + Redux: Fundamentos e 2 Apps do Absoluto ZERO!</t>
  </si>
  <si>
    <t>React + Redux Course: Fundamentals and 2 Apps absolute zero!</t>
  </si>
  <si>
    <t>Algoritmos e Lógica de Programação do básico ao avançado</t>
  </si>
  <si>
    <t>Algorithms and programming logic from basic to advanced</t>
  </si>
  <si>
    <t>Azure DevOps - Integração Contínua e Entrega Contínua</t>
  </si>
  <si>
    <t>Azure DevOps - Continuous Integration and Continuous Delivery</t>
  </si>
  <si>
    <t>Higor Barbosa</t>
  </si>
  <si>
    <t>Microservice, RESTAPI, CI/CD, Deploy, LoadBalancer e Monitor</t>
  </si>
  <si>
    <t>Marcelo de Souza Vieira</t>
  </si>
  <si>
    <t>Algoritmos e Lógica de Programação 2020 - O Curso COMPLETO</t>
  </si>
  <si>
    <t>Algorithms and Logic Programming 2020 - The course COMPLETE</t>
  </si>
  <si>
    <t>Curso de JavaScript e TypeScript do básico ao avançado 2020</t>
  </si>
  <si>
    <t>Course JavaScript and typescript from basic to advanced in 2020</t>
  </si>
  <si>
    <t>API GraphQL com SpringBoot</t>
  </si>
  <si>
    <t>API GraphQL with SpringBoot</t>
  </si>
  <si>
    <t>Curso Completo MongoDB 2020 - Aprenda do Básico ao Avançado!</t>
  </si>
  <si>
    <t>Complete Course MongoDB 2020 - Learn the Basics to Advanced!</t>
  </si>
  <si>
    <t>Renan Pallin</t>
  </si>
  <si>
    <t>Análise de Requisitos de Software com Histórias de Usuários</t>
  </si>
  <si>
    <t>Software Requirements Analysis with User Stories</t>
  </si>
  <si>
    <t>Nonato Costa</t>
  </si>
  <si>
    <t>Amazon DynamoDB para Iniciantes - Aprenda Banco NoSQL da AWS</t>
  </si>
  <si>
    <t>Amazon DynamoDB for Beginners - Learn NoSQL Bank of AWS</t>
  </si>
  <si>
    <t>Aprenda BDD com Cucumber em JAVA</t>
  </si>
  <si>
    <t>Learn BDD Cucumber with JAVA</t>
  </si>
  <si>
    <t>Docker do zero - introdução a administração de containers</t>
  </si>
  <si>
    <t>Docker scratch - introduction administration of containers</t>
  </si>
  <si>
    <t>Ricardo Ferreira</t>
  </si>
  <si>
    <t>Bancos de Dados SQL e NoSQL do básico ao avançado</t>
  </si>
  <si>
    <t>SQL databases and NoSQL from basic to advanced</t>
  </si>
  <si>
    <t>Programação para Leigos e informática do básico ao avançado</t>
  </si>
  <si>
    <t>Programming for Dummies and information from basic to advanced</t>
  </si>
  <si>
    <t>React Native: Desenvolva APPs Nativas para Android e iOS</t>
  </si>
  <si>
    <t>React Native: Native Develop APP for Android and iOS</t>
  </si>
  <si>
    <t>C# primeiros passos: Lógica de Programação e Algoritmos</t>
  </si>
  <si>
    <t>C # first steps: Logic Programming and Algorithms</t>
  </si>
  <si>
    <t>Design de API's RestFul com Spring Boot, TDD e o novo JUnit5</t>
  </si>
  <si>
    <t>API's design RESTful with Spring Boot, TDD and the new JUnit5</t>
  </si>
  <si>
    <t>JavaScript Funcional e Reativo - PENSE como um Dev JS [2020]</t>
  </si>
  <si>
    <t>Reactive Functional JavaScript and - as a THINK Dev JS [2020]</t>
  </si>
  <si>
    <t>Desenvolvimento Android Completo 2020 - Crie 18 Apps</t>
  </si>
  <si>
    <t>Full Android Development 2020 - Create 18 Apps</t>
  </si>
  <si>
    <t>Aprenda Programação em Python 3 do Zero com Facilidade</t>
  </si>
  <si>
    <t>Learn Programming in Python 3 Zero with Ease</t>
  </si>
  <si>
    <t>Spring Boot + React JS: Desenvolva Aplicações Web Completas</t>
  </si>
  <si>
    <t>Spring Boot + React JS: Develop Web Applications Complete</t>
  </si>
  <si>
    <t>Curso de Desenvolvimento WEB com ES6, TypeScript e Angular</t>
  </si>
  <si>
    <t>WEB Development Course with ES6, typescript and Angle</t>
  </si>
  <si>
    <t>Testes funcionais com Selenium WebDriver: Do básico ao GRID</t>
  </si>
  <si>
    <t>Functional tests with Selenium WebDriver: From basic to GRID</t>
  </si>
  <si>
    <t>Angular 9 + Spring Boot 2.2: Fullstack Completo e Atualizado</t>
  </si>
  <si>
    <t>Angle 9 + Boot Spring 2.2: Complete and Updated Fullstack</t>
  </si>
  <si>
    <t>Automação de Testes com Selenium WebDriver em Java</t>
  </si>
  <si>
    <t>Test Automation with Selenium WebDriver in Java</t>
  </si>
  <si>
    <t>Júlio de Lima</t>
  </si>
  <si>
    <t>Curso Completo de PHP 7</t>
  </si>
  <si>
    <t>PHP Course Complete 7</t>
  </si>
  <si>
    <t>Git e Github Essencial para o Desenvolvedor</t>
  </si>
  <si>
    <t>Git and Github Essential for Developer</t>
  </si>
  <si>
    <t>Automação de Testes com Robot Framework - Básico</t>
  </si>
  <si>
    <t>Test Automation with Robot Framework - Basic</t>
  </si>
  <si>
    <t>Mayara "May" Fernandes</t>
  </si>
  <si>
    <t>C# Curso Completo: Do Básico ao Avançado!</t>
  </si>
  <si>
    <t>C # Complete Course: From Beginner to Advanced!</t>
  </si>
  <si>
    <t>Programação em Java 11 LTS do básico ao avançado</t>
  </si>
  <si>
    <t>Java Programming 11 from basic to advanced LTS</t>
  </si>
  <si>
    <t>Aprenda Flutter e Desenvolva Apps Para Android e IOS 2020</t>
  </si>
  <si>
    <t>Flutter Learn and Develop Apps For Android and IOS 2020</t>
  </si>
  <si>
    <t>Go (Golang): Explorando a Linguagem do Google</t>
  </si>
  <si>
    <t>Go (golang): Exploring the Google Language</t>
  </si>
  <si>
    <t>Aprenda testes de integração com Spring Boot</t>
  </si>
  <si>
    <t>Learn integration testing with Spring Boot</t>
  </si>
  <si>
    <t>Yuri Adeodato</t>
  </si>
  <si>
    <t>Seja Full-Stack com Vue JS + ASP.NET Core Web API + EF Core</t>
  </si>
  <si>
    <t>Seja Full-Stack with Vue JS + ASP.NET Web API Core Core + EF</t>
  </si>
  <si>
    <t>Testando API Rest com REST-assured</t>
  </si>
  <si>
    <t>Rest Testing REST API-assured</t>
  </si>
  <si>
    <t>Azure Boards : Gerenciamento de Projetos com Azure DevOps</t>
  </si>
  <si>
    <t>Azure Boards: Project Management with Azure DevOps</t>
  </si>
  <si>
    <t>Dominando Git e GitHub - Do iniciante ao expert</t>
  </si>
  <si>
    <t>Mastering Git and GitHub - From beginner to expert</t>
  </si>
  <si>
    <t>João Rubens Marchete Filho</t>
  </si>
  <si>
    <t>Spring Boot &amp; MVC com Thymeleaf</t>
  </si>
  <si>
    <t>Marcio Ballem</t>
  </si>
  <si>
    <t>Modelagem de Dados UML (Análise&amp;Projeto Orientado a Objetos)</t>
  </si>
  <si>
    <t>UML Data Modeling (Analysis &amp; Object-Oriented Design)</t>
  </si>
  <si>
    <t>Vue JS - Curso COMPLETO do Básico ao Avançado</t>
  </si>
  <si>
    <t>Vue JS - COMPLETE Course Basic to Advanced</t>
  </si>
  <si>
    <t>Teste de Software: seja um expert e impulsione sua carreira</t>
  </si>
  <si>
    <t>Software Testing: be an expert and boost your career</t>
  </si>
  <si>
    <t>Curso Web Design Completo: HTML5, CSS3 e JS + 5 Projetos</t>
  </si>
  <si>
    <t>Travel Web Design Complete: HTML5, CSS3 and JS + 5 Projects</t>
  </si>
  <si>
    <t>Daniel Tapias Morales</t>
  </si>
  <si>
    <t>Entendendo TypeScript</t>
  </si>
  <si>
    <t>Understanding typescript</t>
  </si>
  <si>
    <t>Node JS Curso Completo do Básico ao Avançado</t>
  </si>
  <si>
    <t>Node JS Full Course Basic to Advanced</t>
  </si>
  <si>
    <t>Swift - TDD, Clean Architecture, Design Patterns, SOLID, MVP</t>
  </si>
  <si>
    <t>Curso Git e GitHub Ninja</t>
  </si>
  <si>
    <t>Fernando Daciuk</t>
  </si>
  <si>
    <t>Fundamentos de Expressões Regulares (Regex)</t>
  </si>
  <si>
    <t>Basics of regular expressions (regex)</t>
  </si>
  <si>
    <t>UML - Guia Básico para Análise e Projeto de Sistemas</t>
  </si>
  <si>
    <t>UML - Basic Guide to Systems Analysis and Design</t>
  </si>
  <si>
    <t>Marco Aurélio Regis</t>
  </si>
  <si>
    <t>Curso React.js Ninja - React Completo</t>
  </si>
  <si>
    <t>DevOps potencializa implantação de qualidade e agilidade</t>
  </si>
  <si>
    <t>DevOps enhances quality and speed of deployment</t>
  </si>
  <si>
    <t>Muniz Antonio</t>
  </si>
  <si>
    <t>Processo de Automação de Teste Com Selenium WebDriver e Java</t>
  </si>
  <si>
    <t>Test Automation Process With Selenium WebDriver and Java</t>
  </si>
  <si>
    <t>Hugo Peres</t>
  </si>
  <si>
    <t>Curso Desenvolvedor Web Completo + 10 de projetos.</t>
  </si>
  <si>
    <t>Full course Web Developer + 10 projects.</t>
  </si>
  <si>
    <t>Programação Web com Python e Django Framework: Essencial</t>
  </si>
  <si>
    <t>Web Programming with Python and Django Framework: Essential</t>
  </si>
  <si>
    <t>Curso JavaScript Ninja</t>
  </si>
  <si>
    <t>Course Ninja JavaScript</t>
  </si>
  <si>
    <t>Curso de Javascript Completo do iniciante ao mestre (2021)</t>
  </si>
  <si>
    <t>Full Javascript course from beginner to master (2021)</t>
  </si>
  <si>
    <t>Curso Completo Criar Sites com Design Profissional WordPress</t>
  </si>
  <si>
    <t>Complete Course Create Websites with WordPress Design Professional</t>
  </si>
  <si>
    <t>Python 3 - Curso Completo do Básico ao Avançado</t>
  </si>
  <si>
    <t>Python 3 - Full Course Basic to Advanced</t>
  </si>
  <si>
    <t>Curso Vue JS 2 - O Guia Completo (incl. Vue Router &amp; Vuex)</t>
  </si>
  <si>
    <t>JS course Vue 2 - The Complete Guide (incl Vue Router &amp; Vuex.)</t>
  </si>
  <si>
    <t>Bootstrap 4 - Curso COMPLETO com Projetos Reais</t>
  </si>
  <si>
    <t>Bootstrap 4 - Course COMPLETE with Royal Projects</t>
  </si>
  <si>
    <t>Desenvolvimento Android e IOS com Flutter 2020 -Crie 15 Apps</t>
  </si>
  <si>
    <t>Developing Android and IOS with Flutter 2020 -Create 15 Apps</t>
  </si>
  <si>
    <t>Microservices em Node.js com NestJS e RabbitMQ</t>
  </si>
  <si>
    <t>Microservices in Node.js with NestJS and RabbitMQ</t>
  </si>
  <si>
    <t>Diego Fernandes</t>
  </si>
  <si>
    <t>Dominando Banco de Dados com MySQL</t>
  </si>
  <si>
    <t>Mastering database with MySQL</t>
  </si>
  <si>
    <t>João Rangel</t>
  </si>
  <si>
    <t>Linguagem de programação C# - Básico</t>
  </si>
  <si>
    <t>programming language C # - Basic</t>
  </si>
  <si>
    <t>Elias Ribeiro Da Silva Costa</t>
  </si>
  <si>
    <t>Introdução ao Node JS + Express</t>
  </si>
  <si>
    <t>Introduction to Node JS + Express</t>
  </si>
  <si>
    <t>Guilherme Ferreira</t>
  </si>
  <si>
    <t>React Js do zero ao avançado na pratica</t>
  </si>
  <si>
    <t>React Js scratch to advanced in practice</t>
  </si>
  <si>
    <t>Matheus Fraga</t>
  </si>
  <si>
    <t>Jogos 2D com Unity  + C# CURSO COMPLETO</t>
  </si>
  <si>
    <t>2D games with Unity + C # COMPLETE COURSE</t>
  </si>
  <si>
    <t>Criando poderosas API's RESTful com Django Rest Framework</t>
  </si>
  <si>
    <t>Creating powerful RESTful API's with Django Framework Rest</t>
  </si>
  <si>
    <t>Gregory Pacheco</t>
  </si>
  <si>
    <t>HTML e CSS Essencial - Front End Para Iniciantes</t>
  </si>
  <si>
    <t>HTML and CSS Essential - Front End For Beginners</t>
  </si>
  <si>
    <t>Wagner Cardoso</t>
  </si>
  <si>
    <t>Mongo, Express, Angular 1 e Node - Primeira APP do ZERO!</t>
  </si>
  <si>
    <t>Mongo, Express, Angle 1 and Node - First APP ZERO!</t>
  </si>
  <si>
    <t>Desenvolvimento Android - Crie 06 Apps Completos e Modernos</t>
  </si>
  <si>
    <t>Android Development - Create 06 Apps Complete and Modern</t>
  </si>
  <si>
    <t>Professor Marco Maddo</t>
  </si>
  <si>
    <t>Testes funcionais de aplicações Android com Appium</t>
  </si>
  <si>
    <t>Functional testing Android applications Appium</t>
  </si>
  <si>
    <t>Programação em JavaScript do básico ao avançado</t>
  </si>
  <si>
    <t>Programming from basic to advanced JavaScript</t>
  </si>
  <si>
    <t>GraphQL: Criando APIs Profissionais e Flexíveis</t>
  </si>
  <si>
    <t>GraphQL: Creating APIs Professional and Flexible</t>
  </si>
  <si>
    <t>Arquitetura Hexagonal com Java - C1</t>
  </si>
  <si>
    <t>Hexagonal Architecture with Java - C1</t>
  </si>
  <si>
    <t>Fernando Franzini</t>
  </si>
  <si>
    <t>React Completo do básico ao avançado</t>
  </si>
  <si>
    <t>React Full from basic to advanced</t>
  </si>
  <si>
    <t>Rafael Calunga</t>
  </si>
  <si>
    <t>Torne-se um desenvolvedor Front End Magento</t>
  </si>
  <si>
    <t>Become a Front End Developer Magento</t>
  </si>
  <si>
    <t>Ricardo Martins</t>
  </si>
  <si>
    <t>Curso completo de Kotlin para Android</t>
  </si>
  <si>
    <t>full course of Kotlin for Android</t>
  </si>
  <si>
    <t>Lógica de Programação com Javascript. Iniciando no front-end</t>
  </si>
  <si>
    <t>Logic Programming with Javascript. Starting on the front end</t>
  </si>
  <si>
    <t>CSS Grid: o sistema definitivo de layouts</t>
  </si>
  <si>
    <t>CSS Grid: the definitive system layouts</t>
  </si>
  <si>
    <t>Tárcio Zemel</t>
  </si>
  <si>
    <t>API REST em Node.JS aplicando testes (TDD) desde o princípio</t>
  </si>
  <si>
    <t>REST API in tests applying Node.js (TDD) from the beginning</t>
  </si>
  <si>
    <t>Automação de Testes com Robot Framework - Avançado</t>
  </si>
  <si>
    <t>Test Automation with Robot Framework - Advanced</t>
  </si>
  <si>
    <t>Desenvolvimento Android - Aprenda a criar 15 apps</t>
  </si>
  <si>
    <t>Android Development - Learn to create 15 apps</t>
  </si>
  <si>
    <t>Fundamentos de Programação - Aprenda a programar do zero!</t>
  </si>
  <si>
    <t>Programming Fundamentals - Learn how to program from scratch!</t>
  </si>
  <si>
    <t>Curso Completo de Linguagem C e C++ - Iniciante Ao Avançado</t>
  </si>
  <si>
    <t>Language Complete Course C and C ++ - Beginner To Advanced</t>
  </si>
  <si>
    <t>One Day Code</t>
  </si>
  <si>
    <t>Dialogflow Completo-Domine a Criação de Assistentes Virtuais</t>
  </si>
  <si>
    <t>Dialogflow Full-Master The Virtual Assistants Creation</t>
  </si>
  <si>
    <t>TDD com Ruby on Rails, RSpec e Capybara</t>
  </si>
  <si>
    <t>Curso MYSQL  Developer Expert  - Básico ao Avançado</t>
  </si>
  <si>
    <t>Course MYSQL Developer Expert - Basic to Advanced</t>
  </si>
  <si>
    <t>Desenvolvimento Web Avançado</t>
  </si>
  <si>
    <t>Advanced Web Development</t>
  </si>
  <si>
    <t>Java: Programação Orientada a Objetos com Java e Eclipse</t>
  </si>
  <si>
    <t>Java: Object Oriented Programming with Java and Eclipse</t>
  </si>
  <si>
    <t>Rodrigo Rovaron</t>
  </si>
  <si>
    <t>Desenvolvimento IOS 12 - Aprenda a criar 18 Apps</t>
  </si>
  <si>
    <t>Development IOS 12 - Learn how to create 18 Apps</t>
  </si>
  <si>
    <t>Fundamentos de Programação Moderna com Kotlin - Android</t>
  </si>
  <si>
    <t>Modern Programming Fundamentals with Kotlin - Android</t>
  </si>
  <si>
    <t>Curso Completo de Bancos de Dados Relacionais 2020</t>
  </si>
  <si>
    <t>Course Database Full Relational 2020</t>
  </si>
  <si>
    <t>Desenvolvimento avançado de aplicações corporativas c Django</t>
  </si>
  <si>
    <t>advanced enterprise application development c Django</t>
  </si>
  <si>
    <t>Curso de HTML 5 COMPLETO e com Projetos Práticos para WEB</t>
  </si>
  <si>
    <t>HTML Course 5 COMPLETE and Practical Projects for WEB</t>
  </si>
  <si>
    <t>PHP 7 Completo - Curso do Desenvolvedor Web 2020 + Projetos</t>
  </si>
  <si>
    <t>PHP Full 7 - Developer Course Web 2020 + Projects</t>
  </si>
  <si>
    <t>Crie uma Loja Virtual Completa - Android e iOS com Flutter</t>
  </si>
  <si>
    <t>Create a Virtual Full Shop - Android and iOS with Flutter</t>
  </si>
  <si>
    <t>Aprenda Programação do Absoluto ZERO! O Seu primeiro Curso.</t>
  </si>
  <si>
    <t>Learn Programming for the Absolute ZERO! Your first course.</t>
  </si>
  <si>
    <t>HTML5 para quem não sabe nada de HTML5</t>
  </si>
  <si>
    <t>HTML5 for those who know nothing of HTML5</t>
  </si>
  <si>
    <t>Flexbox: o guia completo</t>
  </si>
  <si>
    <t>Flexbox: the complete guide</t>
  </si>
  <si>
    <t>Ruby on Rails 5.x - Do início ao fim!</t>
  </si>
  <si>
    <t>Ruby on Rails 5.x - From start to finish!</t>
  </si>
  <si>
    <t>Curso de Visual Studio 2019 - Desenvolvimento Front End</t>
  </si>
  <si>
    <t>Visual Studio 2019 Course - Front End Development</t>
  </si>
  <si>
    <t>Hugo Vasconcelos</t>
  </si>
  <si>
    <t>Jogos 3D com Unity + modo multiplayer</t>
  </si>
  <si>
    <t>3D games with Unity + multiplayer mode</t>
  </si>
  <si>
    <t>Aprenda Javascript, jQuery,  Ajax e Json do Zero na Prática</t>
  </si>
  <si>
    <t>Learn Javascript, jQuery, Ajax and JSON Zero in Practice</t>
  </si>
  <si>
    <t>Criando um jogo de Plataforma 2D na Unity</t>
  </si>
  <si>
    <t>Creating a 2D platform game in Unity</t>
  </si>
  <si>
    <t>Gabriel Barbosa</t>
  </si>
  <si>
    <t>O Curso completo de NoSQL sem mistérios! MongoDB Neo4J</t>
  </si>
  <si>
    <t>The full course of NoSQL without mysteries! MongoDB Neo4J</t>
  </si>
  <si>
    <t>React Native Criando aplicativos do zero ao avançado</t>
  </si>
  <si>
    <t>React Native Creating from scratch to advanced applications</t>
  </si>
  <si>
    <t>Crie sites profissionais com Wordpress 2020 - 6 Projetos</t>
  </si>
  <si>
    <t>Create professional websites with Wordpress 2020-6 Projects</t>
  </si>
  <si>
    <t>Aprenda o novo React com Hooks criando 8 projetos práticos</t>
  </si>
  <si>
    <t>Learn new React with 8 Hooks creating practical projects</t>
  </si>
  <si>
    <t>Xamarin Forms - Avançado</t>
  </si>
  <si>
    <t>Xamarin Forms - Advanced</t>
  </si>
  <si>
    <t>Desenvolvimento de Jogos: Game 2D Isométrico com a Unity</t>
  </si>
  <si>
    <t>Developing games: Game 2D Isometric with Unity</t>
  </si>
  <si>
    <t>TheCodingCult (aka Henrique de Carvalho)</t>
  </si>
  <si>
    <t>React JS + Firebase + Bootstrap: projeto passo á passo</t>
  </si>
  <si>
    <t>React JS + Firebase + Bootstrap: project step by step</t>
  </si>
  <si>
    <t>Formação DBA SQL Server  + Always on (HADR)</t>
  </si>
  <si>
    <t>Training DBA SQL Server + Always on (HADR)</t>
  </si>
  <si>
    <t>Projeto Completo:  XD, NodeJs, MongoDB, React Native e React</t>
  </si>
  <si>
    <t>Full project: XD, NodeJS, MongoDB, and Native React React</t>
  </si>
  <si>
    <t>Orquestração de Containers com Kubernetes</t>
  </si>
  <si>
    <t>Orchestrating Containers with Kubernetes</t>
  </si>
  <si>
    <t>Business Intelligence - SQL Server e Analysis Services 2016</t>
  </si>
  <si>
    <t>Desenvolvendo REST / RESTful APIs com Ruby on Rails</t>
  </si>
  <si>
    <t>Developing REST / RESTful APIs with Ruby on Rails</t>
  </si>
  <si>
    <t>Iniciando com Ruby e Orientação a Objetos</t>
  </si>
  <si>
    <t>Starting with Ruby and Object Orientation</t>
  </si>
  <si>
    <t>Desenvolvimento Responsivo com HTML5, CSS3 e Javascript</t>
  </si>
  <si>
    <t>Responsive Development with HTML5, CSS3 and Javascript</t>
  </si>
  <si>
    <t>Eduardo Garcia</t>
  </si>
  <si>
    <t>WordPress para Desenvolvedores: Criação de Temas do Zero</t>
  </si>
  <si>
    <t>WordPress Developer: Zero Theme Creation</t>
  </si>
  <si>
    <t>Marcelo Xavier Vieira</t>
  </si>
  <si>
    <t>Construa aplicativos mobile do zero com React Native e Redux</t>
  </si>
  <si>
    <t>Build from scratch mobile applications React Native and Redux</t>
  </si>
  <si>
    <t>Desenvolvedor júnior level 1: fundamentos do desenvolvimento</t>
  </si>
  <si>
    <t>Developer Level Junior 1: Development grounds</t>
  </si>
  <si>
    <t>Leandro Pinho Monteiro</t>
  </si>
  <si>
    <t>Laravel 5.8 Completo - O mais poderoso Framework PHP</t>
  </si>
  <si>
    <t>Laravel 5.8 Full - The most powerful PHP Framework</t>
  </si>
  <si>
    <t>MPro Consultoria, Desenvolvimento e Treinamento</t>
  </si>
  <si>
    <t>Curso de MySQL para iniciantes - com módulo avançado!</t>
  </si>
  <si>
    <t>Course MySQL for beginners - Advanced module!</t>
  </si>
  <si>
    <t>Front-End profissional completo HTML5, CSS3, SASS, JS E MAIS</t>
  </si>
  <si>
    <t>complete professional Front End HTML5, CSS3, SASS, JS AND MORE</t>
  </si>
  <si>
    <t>HTML5 e CSS3: O básico para um site profissional</t>
  </si>
  <si>
    <t>HTML5 and CSS3: The basics for a professional website</t>
  </si>
  <si>
    <t>Mauro Andrade</t>
  </si>
  <si>
    <t>Crie APIs REST com Python e Django REST Framework: Essencial</t>
  </si>
  <si>
    <t>Create REST APIs with Python and Django REST Framework: Essential</t>
  </si>
  <si>
    <t>Aprenda Unity Programando 7 Jogos</t>
  </si>
  <si>
    <t>Learn Unity Programming 7 Games</t>
  </si>
  <si>
    <t>Introdução ao Laravel</t>
  </si>
  <si>
    <t>Introduction to Laravel</t>
  </si>
  <si>
    <t>Chatbot para Telegram com Node + 3 Projetos</t>
  </si>
  <si>
    <t>Chatbot to Telegram with Node + 3 Projects</t>
  </si>
  <si>
    <t>Curso CSS3 Avançado - Projeto Web Responsive</t>
  </si>
  <si>
    <t>Advanced Course CSS3 - Responsive Web Design</t>
  </si>
  <si>
    <t>Programação em C do básico ao avançado</t>
  </si>
  <si>
    <t>C programming from basic to advanced</t>
  </si>
  <si>
    <t>C++ Essencial: Aprenda a Programar PASSO a PASSO! [2020]</t>
  </si>
  <si>
    <t>C ++ Essential: Learn to Program the STEP STEP! [2020]</t>
  </si>
  <si>
    <t>Começando com Android - Crie 6 Apps</t>
  </si>
  <si>
    <t>Starting with Android - Create 6 Apps</t>
  </si>
  <si>
    <t>Desenvolvedor Android Intermediário</t>
  </si>
  <si>
    <t>Android Developer Intermediate</t>
  </si>
  <si>
    <t>CSS: um passo adiante</t>
  </si>
  <si>
    <t>CSS: a step forward</t>
  </si>
  <si>
    <t>Aprendendo programação básica e avançada com Linguagem C++</t>
  </si>
  <si>
    <t>Learning basic and advanced programming language with C ++</t>
  </si>
  <si>
    <t>Professor Marcos Pacheco (Mestre em Computação)</t>
  </si>
  <si>
    <t>DBA SQL Server 2017 no Linux.</t>
  </si>
  <si>
    <t>Teoria de Bancos de Dados: Do Zero a Graduação!</t>
  </si>
  <si>
    <t>Database Theory: From Zero to Graduation!</t>
  </si>
  <si>
    <t>DATA AWARE Cursos Online</t>
  </si>
  <si>
    <t>Interface Gráfica para Apps Python com GTK e Glade</t>
  </si>
  <si>
    <t>Graphical Interface for Apps Python with GTK and Glade</t>
  </si>
  <si>
    <t>Edson Pacholok</t>
  </si>
  <si>
    <t>Curso Completo de Desenvolvimento de jogos com Unity</t>
  </si>
  <si>
    <t>Course Development Full games with Unity</t>
  </si>
  <si>
    <t>Spring Boot &amp; MVC com Spring Security</t>
  </si>
  <si>
    <t>Construa aplicações web completas com React e Redux!</t>
  </si>
  <si>
    <t>Build complete web applications with React and Redux!</t>
  </si>
  <si>
    <t>Docker: Compreendendo e utilizando !</t>
  </si>
  <si>
    <t>Docker: Understanding and using!</t>
  </si>
  <si>
    <t>Leandro Augusto Bucardi</t>
  </si>
  <si>
    <t>Crie sites do zero com HTML5 &amp; CSS3</t>
  </si>
  <si>
    <t>Create from scratch sites with HTML5 &amp; CSS3</t>
  </si>
  <si>
    <t>Flutter Essencial</t>
  </si>
  <si>
    <t>flutter Essential</t>
  </si>
  <si>
    <t>Automação Industrial em Ambiente Virtual</t>
  </si>
  <si>
    <t>Industrial automation in Virtual Environment</t>
  </si>
  <si>
    <t>Roberto Araújo Lima</t>
  </si>
  <si>
    <t>Asp.NET Core Identity + MVC e Web API + SQL Server + EF Core</t>
  </si>
  <si>
    <t>Desenvolvimento de aplicações para web e sites com Django 3</t>
  </si>
  <si>
    <t>Application development and web sites with Django 3</t>
  </si>
  <si>
    <t>jQuery - Curso COMPLETO Com Projetos Reais</t>
  </si>
  <si>
    <t>jQuery - FULL Course With Projects Reais</t>
  </si>
  <si>
    <t>Front-End Design Essencial - HTML, CSS e JS Completo do Zero</t>
  </si>
  <si>
    <t>Front-End Design Essential - HTML, CSS and JS Zero Full</t>
  </si>
  <si>
    <t>Brunão Sousa</t>
  </si>
  <si>
    <t>Criação de Temas WordPress com WooCommerce: Curso Avançado</t>
  </si>
  <si>
    <t>WordPress Theme Creation with WooCommerce: Advanced Course</t>
  </si>
  <si>
    <t>Estrutura de Dados e Algoritmos em Python: O Guia Completo</t>
  </si>
  <si>
    <t>Data Structures and Algorithms in Python: The Complete Guide</t>
  </si>
  <si>
    <t>Curso Completo do Desenvolvedor Web</t>
  </si>
  <si>
    <t>Developer Full Travel Web</t>
  </si>
  <si>
    <t>Glaucio Daniel Souza Santos</t>
  </si>
  <si>
    <t>Curso Completo de PHP 7 PROFISSIONAL - 6 cursos em 1.</t>
  </si>
  <si>
    <t>PHP Course Complete 7 PROFESSIONAL - 6 courses in one.</t>
  </si>
  <si>
    <t>LaTeX do zero ao avançado</t>
  </si>
  <si>
    <t>LaTeX from scratch to advanced</t>
  </si>
  <si>
    <t>Alexandre Nunes</t>
  </si>
  <si>
    <t>BOOTSTRAP 4 - Todos os segredos da melhor framework CSS.</t>
  </si>
  <si>
    <t>Bootstrap 4 - All the secrets of the best CSS framework.</t>
  </si>
  <si>
    <t>Domine Administração de Bancos de Dados com DB2 IBM</t>
  </si>
  <si>
    <t>Master Database Administration with IBM DB2</t>
  </si>
  <si>
    <t>Mayko Silva</t>
  </si>
  <si>
    <t>Flutter e Dart - Curso Completo de Criação de Apps</t>
  </si>
  <si>
    <t>Flutter and Dart - Course Apps Creation Complete</t>
  </si>
  <si>
    <t>Paulo Dichone | Android, Java, Flutter Developer and Teacher</t>
  </si>
  <si>
    <t>Elementor PRO - Como Criar Temas Personalizados no WordPress</t>
  </si>
  <si>
    <t>Elementor PRO - Creating Custom Themes in WordPress</t>
  </si>
  <si>
    <t>JavaScript: Algoritmos + Estruturas de Dados</t>
  </si>
  <si>
    <t>JavaScript: Algorithms + Data Structures</t>
  </si>
  <si>
    <t>Everton Braga</t>
  </si>
  <si>
    <t>HTML5 Completo</t>
  </si>
  <si>
    <t>Complete HTML5</t>
  </si>
  <si>
    <t>Adriana Cerdeira</t>
  </si>
  <si>
    <t>Elementor Completo | Do Zero ao Avançado (2 Projetos)</t>
  </si>
  <si>
    <t>Elementor Full | Zero to Advanced (2 projects)</t>
  </si>
  <si>
    <t>Rafael Mota</t>
  </si>
  <si>
    <t>Criando um Dashboard do Zero com PHP,MySQL e Bootstrap</t>
  </si>
  <si>
    <t>Creating a Zero Dashboard with PHP, MySQL and Bootstrap</t>
  </si>
  <si>
    <t>Ricardo Milbrath Gonçalves</t>
  </si>
  <si>
    <t>Master Database Developer - Formação PLSQL e T-SQL de A à Z</t>
  </si>
  <si>
    <t>Master Database Developer - Training PLSQL and T-SQL from A to Z</t>
  </si>
  <si>
    <t>Azure Pipelines - CI/CD, Docker e Kubernetes no Azure DevOps</t>
  </si>
  <si>
    <t>Pipelines Azure - CI / CD, e Docker Kubernetes no Azure DevOps</t>
  </si>
  <si>
    <t>Ruby on Rails 4.x - Curso Completo</t>
  </si>
  <si>
    <t>Orientação a Objetos com PHP - Crie 5 Projetos Práticos</t>
  </si>
  <si>
    <t>Object Orientation with PHP - Create 5 Practical Projects</t>
  </si>
  <si>
    <t>Nanderson Castro</t>
  </si>
  <si>
    <t>Laravel 5.5 com Vue JS</t>
  </si>
  <si>
    <t>Laravel 5.5 JS Vue</t>
  </si>
  <si>
    <t>Aprenda PHP do Zero Com Facilidade e Faça Sites Dinâmicos</t>
  </si>
  <si>
    <t>Learn Zero PHP With Ease and Make Dynamic Sites</t>
  </si>
  <si>
    <t>Desenvolva uma aplicação com Django 2.0 e deploy no Heroku</t>
  </si>
  <si>
    <t>Develop an application with Django 2.0 and deploy on Heroku</t>
  </si>
  <si>
    <t>Descomplicando a Linguagem C</t>
  </si>
  <si>
    <t>Descomplicando language C</t>
  </si>
  <si>
    <t>Vitor Coutinho</t>
  </si>
  <si>
    <t>RPG 2D com Unity: Jogos no estilo Top Down</t>
  </si>
  <si>
    <t>RPG 2D with Unity: Games-style Top Down</t>
  </si>
  <si>
    <t>Laravel: Construindo APIs REST</t>
  </si>
  <si>
    <t>Laravel: Building REST APIs</t>
  </si>
  <si>
    <t>Spring Boot &amp; MVC com AJAX</t>
  </si>
  <si>
    <t>Dialogflow Avançado-Domine a Plataforma por Completo</t>
  </si>
  <si>
    <t>Dialogflow Advanced-Master Platform Fully</t>
  </si>
  <si>
    <t>CRUD Básico com Bootstrap 4 , PHP e MySQL</t>
  </si>
  <si>
    <t>Basic CRUD with Bootstrap 4, PHP and MySQL</t>
  </si>
  <si>
    <t>Curso de Python 3 Completo - Do Zero ao Avançado</t>
  </si>
  <si>
    <t>Course Python 3 Full - From Zero to Advanced</t>
  </si>
  <si>
    <t>Curso Desenvolvimento Website Responsivo COMPLETO</t>
  </si>
  <si>
    <t>Course Development Website Responsive COMPLETE</t>
  </si>
  <si>
    <t>Design Patterns com Java - Entendendo Padrões de Projetos</t>
  </si>
  <si>
    <t>Design Patterns in Java - Understanding Design Patterns</t>
  </si>
  <si>
    <t>Wordpress - Como Criar Um Site Profissional Para Seu Negocio</t>
  </si>
  <si>
    <t>Wordpress - How To Create A Professional Website For Your Business</t>
  </si>
  <si>
    <t>Curso de Algoritmo: Completo e Passo a Passo</t>
  </si>
  <si>
    <t>Course Algorithm and Full Walkthrough</t>
  </si>
  <si>
    <t>Manoel Jailton Nascimento</t>
  </si>
  <si>
    <t>Curso Desenvolvedor Web</t>
  </si>
  <si>
    <t>Travel Web Developer</t>
  </si>
  <si>
    <t>Cesar Nicolau Szpak</t>
  </si>
  <si>
    <t>Django 2.0 avancado, 100+ aulas domine framework like a boss</t>
  </si>
  <si>
    <t>Introdução a Banco de Dados com MySQL</t>
  </si>
  <si>
    <t>Introduction to Database with MySQL</t>
  </si>
  <si>
    <t>Diego Mariano, Ph.D.</t>
  </si>
  <si>
    <t>Curso Completo de Bootstrap 4 + jQuery com 6 Projetos reais</t>
  </si>
  <si>
    <t>Full course Bootstrap 4 + jQuery with 6 real projects</t>
  </si>
  <si>
    <t>Microsoft Azure Infraestrutura - Curso Completo</t>
  </si>
  <si>
    <t>Microsoft Azure Infrastructure - Complete Course</t>
  </si>
  <si>
    <t>HTML, CSS e PHP - do ZERO Para Iniciantes em Programação Web</t>
  </si>
  <si>
    <t>HTML, CSS and PHP - ZERO For Beginners Web Programming</t>
  </si>
  <si>
    <t>Headers Animados e Responsivos com HTML, CSS e JavaScript</t>
  </si>
  <si>
    <t>Animated Responsive headers and HTML, CSS and JavaScript</t>
  </si>
  <si>
    <t>Lucas Costa</t>
  </si>
  <si>
    <t>Aprendendo a programar em Java</t>
  </si>
  <si>
    <t>Learning to program in Java</t>
  </si>
  <si>
    <t>O que é Business Intelligence? Teoria sem mistérios!</t>
  </si>
  <si>
    <t>What is Business Intelligence? Theory without mysteries!</t>
  </si>
  <si>
    <t>Curso de CodeIgniter: Desenvolva para web de forma Ágil</t>
  </si>
  <si>
    <t>CodeIgniter course: Develop web Agile way</t>
  </si>
  <si>
    <t>Emerson Carvalho</t>
  </si>
  <si>
    <t>Curso Completo do Android Oreo (8.0) - Aprenda com 12 Apps</t>
  </si>
  <si>
    <t>Full course of Oreo Android (8.0) - Learn 12 Apps</t>
  </si>
  <si>
    <t>Aprenda Lógica de Programação - direto ao ponto</t>
  </si>
  <si>
    <t>Learn Programming Logic - to the point</t>
  </si>
  <si>
    <t>Eduardo Casavella</t>
  </si>
  <si>
    <t>Dart lang do básico ao avançado + Api Rest!</t>
  </si>
  <si>
    <t>Dart lang from basic to advanced + Api Rest!</t>
  </si>
  <si>
    <t>Fernando Martins</t>
  </si>
  <si>
    <t>Banco de Dados Oracle Completo: SQL+PLSQL+Modelagem de Dados</t>
  </si>
  <si>
    <t>Bank of Oracle Full Data: SQL PLSQL + + Data Modeling</t>
  </si>
  <si>
    <t>Emílio Scudero</t>
  </si>
  <si>
    <t>Git e GitHub do básico ao avançado (c/ gist e GitHub Pages)</t>
  </si>
  <si>
    <t>Git and GitHub from beginner to advanced (w / GitHub gist and Pages)</t>
  </si>
  <si>
    <t>Bootstrap 4 - Completo, Prático e Responsivo</t>
  </si>
  <si>
    <t>Bootstrap 4 - Complete, Practical and Responsive</t>
  </si>
  <si>
    <t>SQL SERVER com máximo desempenho. Aprenda T-SQL TUNING!</t>
  </si>
  <si>
    <t>SQL SERVER at peak performance. Learn T-SQL TUNING!</t>
  </si>
  <si>
    <t>Wolney Marconi Maia</t>
  </si>
  <si>
    <t>Programação CLP e IHM Siemens Atualizado 2020</t>
  </si>
  <si>
    <t>Programming PLC and HMI Siemens Updated 2020</t>
  </si>
  <si>
    <t>Gabriel de Oliveira</t>
  </si>
  <si>
    <t>Firebase para Android - Módulo I - Autenticações</t>
  </si>
  <si>
    <t>Firebase for Android - Module I - Endorsements</t>
  </si>
  <si>
    <t>Jone Arce Franco</t>
  </si>
  <si>
    <t>Firebase para Android - Módulo II - Storage e Database</t>
  </si>
  <si>
    <t>Firebase for Android - Module II - Storage and Database</t>
  </si>
  <si>
    <t>Criação de arte para games</t>
  </si>
  <si>
    <t>Art Creation games</t>
  </si>
  <si>
    <t>Firebase para Android - Módulo III - Notificações</t>
  </si>
  <si>
    <t>Firebase for Android - Module III - Notifications</t>
  </si>
  <si>
    <t>Firebase para Android - Módulo IV - Agenda de Serviços</t>
  </si>
  <si>
    <t>Firebase for Android - IV Module - Service Schedule</t>
  </si>
  <si>
    <t>Aplicação web completa integrando Django e Angular Framework</t>
  </si>
  <si>
    <t>Full web application integrating Django Framework and Angle</t>
  </si>
  <si>
    <t>MySQL - Guia para iniciantes do zero (Curso Rápido)</t>
  </si>
  <si>
    <t>MySQL - Guide to zero beginners (Capsule Course)</t>
  </si>
  <si>
    <t>Oracle 19c SQL Fundamentos - Completo (Teoria e Prática)</t>
  </si>
  <si>
    <t>Oracle 19c SQL Fundamentals - Complete (Theory and Practice)</t>
  </si>
  <si>
    <t>Oracle PL/SQL Especialista: do Básico ao Avançado - Completo</t>
  </si>
  <si>
    <t>Oracle PL / SQL Expert: Basic to Advanced - Complete</t>
  </si>
  <si>
    <t>Conceitos e Modelagem de Banco de Dados Relacional.</t>
  </si>
  <si>
    <t>Concepts and Database Modeling Relational.</t>
  </si>
  <si>
    <t>Lógica de Programação e Algoritmos com VisualG</t>
  </si>
  <si>
    <t>Logic Programming and Algorithms with VisualG</t>
  </si>
  <si>
    <t>Danilo Pereira</t>
  </si>
  <si>
    <t>Crie aplicativos multiplataforma com Flutter</t>
  </si>
  <si>
    <t>Create cross-platform applications with Flutter</t>
  </si>
  <si>
    <t>Vitor Diogo Alves</t>
  </si>
  <si>
    <t>Microsoft PowerApps para Iniciantes</t>
  </si>
  <si>
    <t>Microsoft PowerApps for Beginners</t>
  </si>
  <si>
    <t>Wilson Pinto Ribeiro Neto</t>
  </si>
  <si>
    <t>Curso Básico de Investimentos</t>
  </si>
  <si>
    <t>Basic Investment course</t>
  </si>
  <si>
    <t>Prof. MARCUS LIMA</t>
  </si>
  <si>
    <t>Day Trade e Swing Trade com Análise Técnica</t>
  </si>
  <si>
    <t>Trade Day and Swing Trade with Technical Analysis</t>
  </si>
  <si>
    <t>Leonardo Baldochi</t>
  </si>
  <si>
    <t>Python para Finanças: Investimentos &amp; Análise de Dados</t>
  </si>
  <si>
    <t>Python for Finance: Investments &amp; Data Analysis</t>
  </si>
  <si>
    <t>Gestão Financeira Para Pequenas e Médias Empresas</t>
  </si>
  <si>
    <t>Financial Management for Small and Medium Enterprises</t>
  </si>
  <si>
    <t>Kleber Donady</t>
  </si>
  <si>
    <t>Como Investir no Tesouro Direto para Iniciantes [2020]</t>
  </si>
  <si>
    <t>How to invest in Treasury Direct for Beginners [2020]</t>
  </si>
  <si>
    <t>Hevlin Costa</t>
  </si>
  <si>
    <t>Gestão Financeira Passo a Passo</t>
  </si>
  <si>
    <t>Financial Management Walkthrough</t>
  </si>
  <si>
    <t>Leonardo Grisotto</t>
  </si>
  <si>
    <t>Fundamentos Do Bitcoin &amp; Blockchain</t>
  </si>
  <si>
    <t>Fundamentos Do Bitcoin &amp; Block Chain</t>
  </si>
  <si>
    <t>Diogo Mury</t>
  </si>
  <si>
    <t>Matemática Financeira Completa</t>
  </si>
  <si>
    <t>Financial Mathematics Full</t>
  </si>
  <si>
    <t>Arthur Borges</t>
  </si>
  <si>
    <t>Curso Forex Completo Profissionalizante</t>
  </si>
  <si>
    <t>Forex Course Complete College</t>
  </si>
  <si>
    <t>Exodus Trading</t>
  </si>
  <si>
    <t>Bolsa de Valores - Day Trade - Tape Reading - Dólar Futuro</t>
  </si>
  <si>
    <t>Stock Market - Day Trade - Tape Reading - Dollar Future</t>
  </si>
  <si>
    <t>Thiago Ferreira</t>
  </si>
  <si>
    <t>Robôs de investimentos - MQL5 Tópicos avançados</t>
  </si>
  <si>
    <t>investment robots - MQL5 Advanced Topics</t>
  </si>
  <si>
    <t>Fundos de Investimento Expert</t>
  </si>
  <si>
    <t>Expert Investment Funds</t>
  </si>
  <si>
    <t>Rafael Lavrado</t>
  </si>
  <si>
    <t>Renda Fixa Expert - Renda Fixa na Prática</t>
  </si>
  <si>
    <t>Fixed Income Expert - Fixed Income in Practice</t>
  </si>
  <si>
    <t>Operando na Prática com Criptomoedas: Do Zero ao Avançado</t>
  </si>
  <si>
    <t>Operating in practice with Criptomoedas: From Zero to Advanced</t>
  </si>
  <si>
    <t>João Chiabai Júnior</t>
  </si>
  <si>
    <t>DAY TRADE e OPÇÕES BINÁRIAS para TODOS! Básico ao avançado!</t>
  </si>
  <si>
    <t>DAY TRADE OPTIONS BINARY and for ALL! Beginner to advanced!</t>
  </si>
  <si>
    <t>Luis Ladereche</t>
  </si>
  <si>
    <t>Aprenda a criar indicadores técnicos de investimentos - MQL5</t>
  </si>
  <si>
    <t>Learn how to create technical indicators of investments - MQL5</t>
  </si>
  <si>
    <t>Derivativos Expert - Tudo o que você precisa saber</t>
  </si>
  <si>
    <t>Derivatives Expert - All you need to know</t>
  </si>
  <si>
    <t>Risk Expert - Aprenda na Prática</t>
  </si>
  <si>
    <t>Risk Expert - Learn in Practice</t>
  </si>
  <si>
    <t>Excel Expert 2.0 - O Excel para o Mercado Financeiro</t>
  </si>
  <si>
    <t>Excel Expert 2.0 - Excel for Financial Market</t>
  </si>
  <si>
    <t>Portfolio Expert - Risco e Alocação de Portfolio</t>
  </si>
  <si>
    <t>Expert Portfolio - Risk and Portfolio Allocation</t>
  </si>
  <si>
    <t>Curso de Day Trade Avançado no Mini Índice</t>
  </si>
  <si>
    <t>Day Trade course of the Advanced Mini Index</t>
  </si>
  <si>
    <t>Diego Lopes de Faria</t>
  </si>
  <si>
    <t>Python para Investimentos na Bolsa de Valores</t>
  </si>
  <si>
    <t>Python for Investments in the Stock Market</t>
  </si>
  <si>
    <t>Evaldo Junior</t>
  </si>
  <si>
    <t>Quant Expert - Estratégias Quantitativas</t>
  </si>
  <si>
    <t>Quant Expert - Quantitative Strategies</t>
  </si>
  <si>
    <t>Curso Básico de Finanças</t>
  </si>
  <si>
    <t>Basic Course in Finance</t>
  </si>
  <si>
    <t>José Antônio Rosa</t>
  </si>
  <si>
    <t>Python para Finanças: Análise de Dados e Machine Learning</t>
  </si>
  <si>
    <t>Python for Finance: Data Analysis and Machine Learning</t>
  </si>
  <si>
    <t>Descomplicando a Contabilidade de Custos</t>
  </si>
  <si>
    <t>Descomplicando Cost Accounting</t>
  </si>
  <si>
    <t>João Batista da Silva</t>
  </si>
  <si>
    <t>Introdução a instrumentos derivativos e mercados derivativos</t>
  </si>
  <si>
    <t>Introduction to derivative instruments and derivatives markets</t>
  </si>
  <si>
    <t>Andre Cury Maialy</t>
  </si>
  <si>
    <t>Introdução ao Mercado de Opções sobre Ações</t>
  </si>
  <si>
    <t>Introduction to Options on Stocks Market</t>
  </si>
  <si>
    <t>Criando uma planilha de controle financeiro empresarial</t>
  </si>
  <si>
    <t>Creating a spreadsheet financial corporate control</t>
  </si>
  <si>
    <t>Estevão Mortare</t>
  </si>
  <si>
    <t>Orçamento e Fluxo de Caixa em Excel COMPLETO</t>
  </si>
  <si>
    <t>Budget and Cash Flow in Excel COMPLETE</t>
  </si>
  <si>
    <t>Carlos Alberto Alves</t>
  </si>
  <si>
    <t>Quant Trading - Operações de Long &amp; Short por Cointegração</t>
  </si>
  <si>
    <t>Quant Trading - Long &amp; Short Operations for Cointegration</t>
  </si>
  <si>
    <t>Matemática Financeira de A à Z - com HP12C e MS Excel (+32h)</t>
  </si>
  <si>
    <t>Mathematical Finance AZ - with HP12C and MS Excel (+ 32h)</t>
  </si>
  <si>
    <t>Rodrigo Pelace</t>
  </si>
  <si>
    <t>Matemática Financeira com o Uso da HP12C e do MS-Excel</t>
  </si>
  <si>
    <t>Financial Mathematics with the Use of HP12C and MS-Excel</t>
  </si>
  <si>
    <t>EEAP - Educação Empresarial Administração e Projetos</t>
  </si>
  <si>
    <t>Certificação Amazon AWS Para Iniciantes - 2020</t>
  </si>
  <si>
    <t>Amazon AWS Certification For Beginners - 2020</t>
  </si>
  <si>
    <t>Certificação Amazon AWS Solution Architect + 3 Cursos EXTRAS</t>
  </si>
  <si>
    <t>Amazon AWS Solution Architect Certification Courses 3 + EXTRAS</t>
  </si>
  <si>
    <t>AWS Certified Cloud Practitioner - Preparatório AWS CCP 2020</t>
  </si>
  <si>
    <t>ServiceNow system admin Exam (CSA) - Simulados</t>
  </si>
  <si>
    <t>Tiago Macul</t>
  </si>
  <si>
    <t>Certificação AWS Desenvolvedor 2020</t>
  </si>
  <si>
    <t>AWS Certified Developer 2020</t>
  </si>
  <si>
    <t>Adilson Perinei</t>
  </si>
  <si>
    <t>Microsoft Azure: Do Zero a Certificação + 3 Cursos EXTRAS</t>
  </si>
  <si>
    <t>Microsoft Azure: From Zero to Certification Courses 3 + EXTRAS</t>
  </si>
  <si>
    <t>Ansible para SysAdmin</t>
  </si>
  <si>
    <t>Ansible for SysAdmin</t>
  </si>
  <si>
    <t>Phillipe Farias</t>
  </si>
  <si>
    <t>Certificação Amazon AWS Certified Developer Associate</t>
  </si>
  <si>
    <t>Amazon AWS Certification Certified Associate Developer</t>
  </si>
  <si>
    <t>Fundamentos de Ethical Hacking: curso prático</t>
  </si>
  <si>
    <t>Fundamentals of Ethical Hacking: Practical Course</t>
  </si>
  <si>
    <t>Marcos Flávio Araújo Assunção</t>
  </si>
  <si>
    <t>Arquitetura de Redes</t>
  </si>
  <si>
    <t>Architecture Networks</t>
  </si>
  <si>
    <t>Gabriel Torres</t>
  </si>
  <si>
    <t>Simulado Exame Amazon AWS Solutions Architect SAA-C02</t>
  </si>
  <si>
    <t>Simulated Exam Amazon AWS Solutions Architect SAA-C02</t>
  </si>
  <si>
    <t>Preparatório para Certificação Linux LPIC-1 | Atualizado V5</t>
  </si>
  <si>
    <t>Preparation Linux LPIC-1 certification | updated V5</t>
  </si>
  <si>
    <t>Ricardo. Prudenciato</t>
  </si>
  <si>
    <t>Aprenda PowerShell do zero</t>
  </si>
  <si>
    <t>Learn PowerShell zero</t>
  </si>
  <si>
    <t>Daniel Donda</t>
  </si>
  <si>
    <t>Certificação Cisco CCNA 200-301 + 4 Cursos EXTRAS</t>
  </si>
  <si>
    <t>Cisco CCNA 200-301 + 4 Courses EXTRAS</t>
  </si>
  <si>
    <t>Shell Script: Do Básico ao Profissional</t>
  </si>
  <si>
    <t>Shell Script: From Basic to Professional</t>
  </si>
  <si>
    <t>Mateus Müller</t>
  </si>
  <si>
    <t>Microsoft Windows Server 2019 [COMPLETO]</t>
  </si>
  <si>
    <t>Denilson Bonatti</t>
  </si>
  <si>
    <t>Programação Shell Script - Automatizando Rotinas no Linux</t>
  </si>
  <si>
    <t>Shell Script Programming - Automating routines on Linux</t>
  </si>
  <si>
    <t>Ricardo Prudenciato</t>
  </si>
  <si>
    <t>Primeiros Passos no Linux - Conceitos e Principais Comandos</t>
  </si>
  <si>
    <t>Getting Started on Linux - Concepts and Key Commands</t>
  </si>
  <si>
    <t>Business Intelligence SQL - ETL Integration Services</t>
  </si>
  <si>
    <t>Formação em Redes de Computadores - Módulo 1</t>
  </si>
  <si>
    <t>Training in Computer Networks - Module 1</t>
  </si>
  <si>
    <t>Bruno Wanderley</t>
  </si>
  <si>
    <t>ISO 27001: Curso completo para certificação EXIN ISFS!</t>
  </si>
  <si>
    <t>ISO 27001: Full course for EXIN certification ISFS!</t>
  </si>
  <si>
    <t>Cláudio Dodt</t>
  </si>
  <si>
    <t>Redes TCP/IP</t>
  </si>
  <si>
    <t>Windows Server 2016</t>
  </si>
  <si>
    <t>Certificação AZ-301 Microsoft Azure Architect Design</t>
  </si>
  <si>
    <t>AZ-301 Certification Microsoft Azure Architect Design</t>
  </si>
  <si>
    <t>GDPR e as novas regras de Proteção de Dados Pessoais</t>
  </si>
  <si>
    <t>GDPR and the new rules of Personal Data Protection</t>
  </si>
  <si>
    <t>Patricia Peck</t>
  </si>
  <si>
    <t>Redes de computadores para iniciantes</t>
  </si>
  <si>
    <t>computer networks for beginners</t>
  </si>
  <si>
    <t>GA Academy</t>
  </si>
  <si>
    <t>Zabbix: construindo um ambiente de monitoramento</t>
  </si>
  <si>
    <t>Zabbix: building a monitoring environment</t>
  </si>
  <si>
    <t>Janssen Lima</t>
  </si>
  <si>
    <t>Certificação Amazon AWS Cloud Practitioner + 3 Cursos EXTRAS</t>
  </si>
  <si>
    <t>Amazon AWS Cloud Practitioner Certification Courses 3 + EXTRAS</t>
  </si>
  <si>
    <t>DBA Oracle Essencial - Aprenda do zero!</t>
  </si>
  <si>
    <t>Oracle DBA Essential - Learn from scratch!</t>
  </si>
  <si>
    <t>SAP BASIS Netweaver - Administração de Sistemas SAP Dominado</t>
  </si>
  <si>
    <t>SAP Netweaver BASIS - System Administration SAP Dominated</t>
  </si>
  <si>
    <t>IT Security Specialist</t>
  </si>
  <si>
    <t>Web Hacking - Técnicas de Invasão em Ambientes Web [Pentest]</t>
  </si>
  <si>
    <t>Web Hacking - Penetration Techniques in Web Environments [Pentest]</t>
  </si>
  <si>
    <t>Vinícius Vieira</t>
  </si>
  <si>
    <t>Administração de Servidores Linux com Red Hat 8 / CentOS 8</t>
  </si>
  <si>
    <t>Linux Server Administration with Red Hat 8 / CentOS 8</t>
  </si>
  <si>
    <t>Hacking do zero para iniciantes c/ Kali, Nmap e Metasploit</t>
  </si>
  <si>
    <t>Zero hacking for beginners c / Kali, Nmap and Metasploit</t>
  </si>
  <si>
    <t>Clécius Wilton</t>
  </si>
  <si>
    <t>ISO 27001: Construindo Políticas de Segurança da Informação</t>
  </si>
  <si>
    <t>ISO 27001: Building Security Policies Information</t>
  </si>
  <si>
    <t>Linux para Desenvolvedores (c/ terminal, Shell, Apache e +)</t>
  </si>
  <si>
    <t>Linux Developer (w / terminal, Shell, and Apache +)</t>
  </si>
  <si>
    <t>Curso de Eletrônica &amp; TI -1 - Periodo Completo</t>
  </si>
  <si>
    <t>Electronics &amp; IT course -1 - Full Period</t>
  </si>
  <si>
    <t>Professor Marcelo Moraes - Perfil de Cursos  3</t>
  </si>
  <si>
    <t>Formação SQL Server 2017 Desenvolvedor Expert SQL e T-SQL</t>
  </si>
  <si>
    <t>Training SQL Server 2017 Developer Expert SQL and T-SQL</t>
  </si>
  <si>
    <t>Active Directory e Políticas de Grupo no Windows Server 2019</t>
  </si>
  <si>
    <t>Active Directory and Group Policy in Windows Server 2019</t>
  </si>
  <si>
    <t>SysAdmin Linux para o mercado de trabalho</t>
  </si>
  <si>
    <t>SysAdmin Linux for the labor market</t>
  </si>
  <si>
    <t>Certificação AWS Certified Cloud Practitioner : Exame 2021</t>
  </si>
  <si>
    <t>AWS Cloud Certified Practitioner Certification: Examination 2021</t>
  </si>
  <si>
    <t>Eduardo Lara</t>
  </si>
  <si>
    <t>Aprendendo terminal Linux pondo a mão na massa!</t>
  </si>
  <si>
    <t>Learning Linux terminal putting your hands dirty!</t>
  </si>
  <si>
    <t>DBA SQL Server 2016 Essencial - Aprenda do Zero!</t>
  </si>
  <si>
    <t>DBA SQL Server 2016 Essentials - Learn the Zero!</t>
  </si>
  <si>
    <t>Windows Server 2016 MCSA AZURE + STORAGE + Quest. comentadas</t>
  </si>
  <si>
    <t>DICARJ Empresa especializada em cursos Online</t>
  </si>
  <si>
    <t>Pentest para Iniciantes</t>
  </si>
  <si>
    <t>Pentest for Beginners</t>
  </si>
  <si>
    <t>Bruno Dias</t>
  </si>
  <si>
    <t>VMware virtualization from Scratch</t>
  </si>
  <si>
    <t>Cleriston Cardoso Cabral</t>
  </si>
  <si>
    <t>Cisco MPLS para Telecom</t>
  </si>
  <si>
    <t>Cisco MPLS for Telecom</t>
  </si>
  <si>
    <t>Aprenda tudo sobre o Linux! Completo e atualizado!</t>
  </si>
  <si>
    <t>Learn all about Linux! Complete and updated!</t>
  </si>
  <si>
    <t>Vitor Mazuco</t>
  </si>
  <si>
    <t>Ataques de Negação de Serviço (DoS e DDoS) c/ Kali Linux</t>
  </si>
  <si>
    <t>Denial of Service Attacks (DoS and DDoS) c / Kali Linux</t>
  </si>
  <si>
    <t>Citrix XenDesktop 7.6 Introdução Arquitetura e Suporte</t>
  </si>
  <si>
    <t>Citrix XenDesktop 7.6 Introduction Architecture and Support</t>
  </si>
  <si>
    <t>Simulados para Certificação Linux LPIC-1 | Atualizado V5</t>
  </si>
  <si>
    <t>Simulated for Linux LPIC-1 certification | updated V5</t>
  </si>
  <si>
    <t>Wireshark Analisando Tráfego</t>
  </si>
  <si>
    <t>Wireshark Analyzing Traffic</t>
  </si>
  <si>
    <t>Michael Soares</t>
  </si>
  <si>
    <t>Aprenda Arduino usando o simulador Tinkercad</t>
  </si>
  <si>
    <t>Learn Arduino using the simulator Tinkercad</t>
  </si>
  <si>
    <t>Fabio Souza</t>
  </si>
  <si>
    <t>Técnicas de Invasão em Redes Sem-Fios (Wi-Fi Hacking)</t>
  </si>
  <si>
    <t>Invasion techniques in Wireless Networks (Wi-Fi Hacking)</t>
  </si>
  <si>
    <t>André Henrique de O. Santos</t>
  </si>
  <si>
    <t>Simulado Privacy and Data Protection Practitioner - PDPP</t>
  </si>
  <si>
    <t>Marcos de Souza Gomes</t>
  </si>
  <si>
    <t>Bitcoin e Blockchain - Conceitos Fundamentais</t>
  </si>
  <si>
    <t>Bitcoin and Blockchain - Fundamental Concepts</t>
  </si>
  <si>
    <t>Henrique Fanini Leite</t>
  </si>
  <si>
    <t>LPI Linux Essentials: Preparatório para a Certificação</t>
  </si>
  <si>
    <t>LPI Linux Essentials: Preparation for Certification</t>
  </si>
  <si>
    <t>PFSense: Solução completa de firewall</t>
  </si>
  <si>
    <t>PFSense Complete Firewall Solution</t>
  </si>
  <si>
    <t>FAME Treinamentos</t>
  </si>
  <si>
    <t>Detecção avançada de problemas com Zabbix</t>
  </si>
  <si>
    <t>Advanced Troubleshooting with Zabbix</t>
  </si>
  <si>
    <t>Cisco BGP Avançado</t>
  </si>
  <si>
    <t>BGP Cisco Advanced</t>
  </si>
  <si>
    <t>Formação em Redes de Computadores Módulo 2</t>
  </si>
  <si>
    <t>Training Module 2 Computer Networks</t>
  </si>
  <si>
    <t>Desenvolver Sistema com Delphi e SQL-Server na PRÁTICA</t>
  </si>
  <si>
    <t>Develop System with Delphi and SQL-Server in Practice</t>
  </si>
  <si>
    <t>Marcos Fabricio Rosa</t>
  </si>
  <si>
    <t>Lei geral de Proteção de Dados Pessoais na Prática</t>
  </si>
  <si>
    <t>General Law of Personal Data Protection in Practice</t>
  </si>
  <si>
    <t>Simulado Exame Cisco CCNA 200-301</t>
  </si>
  <si>
    <t>Simulated Cisco CCNA Exam 200-301</t>
  </si>
  <si>
    <t>Linux Completo para Usuário Comum ou Desenvolvedor</t>
  </si>
  <si>
    <t>Full Linux for Common User and Developer</t>
  </si>
  <si>
    <t>Bacula 1: ferramenta livre de backup</t>
  </si>
  <si>
    <t>Bacula 1: Backup free tool</t>
  </si>
  <si>
    <t>Heitor Faria</t>
  </si>
  <si>
    <t>Windows Server 2016 (SERVER CORE / POWERSHELL)</t>
  </si>
  <si>
    <t>Simulador EVE-NG Para Certificações Cisco CCNA e CCNP</t>
  </si>
  <si>
    <t>EVE-NG simulator for Cisco CCNA and CCNP Certifications</t>
  </si>
  <si>
    <t>Simulado Exame AZ-303 Microsoft Azure Architect Technologies</t>
  </si>
  <si>
    <t>Simulated Exam AZ-303 Microsoft Azure Architect Technologies</t>
  </si>
  <si>
    <t>Formação em Redes de Computadores - Módulo 4</t>
  </si>
  <si>
    <t>Training in Computer Networks - Module 4</t>
  </si>
  <si>
    <t>Formação Linux Completa: Do Básico ao Avançado</t>
  </si>
  <si>
    <t>Full training Linux: From Basic to Advanced</t>
  </si>
  <si>
    <t>4Fasters Treinamentos</t>
  </si>
  <si>
    <t>Iptables - O Firewall do Linux</t>
  </si>
  <si>
    <t>Djarde Gonçalves</t>
  </si>
  <si>
    <t>Certificação Cisco CCNP Route 300-101</t>
  </si>
  <si>
    <t>Cisco Certification CCNP Route 300-101</t>
  </si>
  <si>
    <t>Formação em Redes de Computadores - Módulo 3</t>
  </si>
  <si>
    <t>Training in Computer Networks - Module 3</t>
  </si>
  <si>
    <t>Laboratórios CCNA 200-301 no Packet Tracer</t>
  </si>
  <si>
    <t>Laboratories CCNA 200-301 Packet Tracer</t>
  </si>
  <si>
    <t>Certificação Cisco CCNA CCENT 100-105</t>
  </si>
  <si>
    <t>Cisco CCNA Certification CCENT 100-105</t>
  </si>
  <si>
    <t>Oracle Certified Associate (OCA) Java 8</t>
  </si>
  <si>
    <t>LUIS Eufrasio Teixeira NETO</t>
  </si>
  <si>
    <t>Gerenciando o Windows Server 2012 R2</t>
  </si>
  <si>
    <t>Managing Windows Server 2012 R2</t>
  </si>
  <si>
    <t>Administração de Servidores Linux com CentOS 7</t>
  </si>
  <si>
    <t>Linux Server Administration with CentOS 7</t>
  </si>
  <si>
    <t>Cisco CCNA - Guia Para Iniciantes</t>
  </si>
  <si>
    <t>Cisco CCNA - Guide For Beginners</t>
  </si>
  <si>
    <t>[DESATUALIZADO] Introdução a Segurança da Informação</t>
  </si>
  <si>
    <t>[Outdated] Introduction to Information Security</t>
  </si>
  <si>
    <t>ByLearn Cursos</t>
  </si>
  <si>
    <t>Linux Completo + Servidores</t>
  </si>
  <si>
    <t>Full Linux + Servers</t>
  </si>
  <si>
    <t>Humberto Froes Forsan</t>
  </si>
  <si>
    <t>Cisco CCENT ICND1(100-105) Questões com perguntas e resposta</t>
  </si>
  <si>
    <t>Cisco CCENT ICND1 (100-105) Questions with question and answer</t>
  </si>
  <si>
    <t>Breno Andrade</t>
  </si>
  <si>
    <t>Administração de redes - Linux 101 v2</t>
  </si>
  <si>
    <t>network administration - Linux 101 v2</t>
  </si>
  <si>
    <t>Thiago Nosch</t>
  </si>
  <si>
    <t>Windows 2019 - Aprendizado Definitivo</t>
  </si>
  <si>
    <t>Windows 2019 - Learning Final</t>
  </si>
  <si>
    <t>Eduardo Pasquotto Orsolini</t>
  </si>
  <si>
    <t>MikroTik para Iniciantes - Configuração na Prática</t>
  </si>
  <si>
    <t>MikroTik for Beginners - Setting in Practice</t>
  </si>
  <si>
    <t>Paulo Oliveira</t>
  </si>
  <si>
    <t>Cisco CCNA Data Center</t>
  </si>
  <si>
    <t>Infraestrutura de TI com Samba4 + AD + Pfsense + File Server</t>
  </si>
  <si>
    <t>IT infrastructure with Samba4 + AD + pfSense + File Server</t>
  </si>
  <si>
    <t>Ednaldo Mendes de Araújo</t>
  </si>
  <si>
    <t>Preparatório Microsoft MTA Database Fundamentals (98-364)</t>
  </si>
  <si>
    <t>Preparatory Microsoft MTA Database Fundamentals (98-364)</t>
  </si>
  <si>
    <t>Luiz Santana</t>
  </si>
  <si>
    <t>Firewall com Mikrotik</t>
  </si>
  <si>
    <t>Firewall Mikrotik</t>
  </si>
  <si>
    <t>Daniel Alves de Souza</t>
  </si>
  <si>
    <t>Linux para iniciantes - Ubuntu</t>
  </si>
  <si>
    <t>Linux for beginners - Ubuntu</t>
  </si>
  <si>
    <t>Curso - Samba 4.11.6 com Debian 10.3 + PfSense + File Server</t>
  </si>
  <si>
    <t>Course - Samba 4.11.6 with Debian + 10.3 + pfSense File Server</t>
  </si>
  <si>
    <t>Administração de Sistemas GNU/Linux: Fundamentos e Prática</t>
  </si>
  <si>
    <t>System Administration GNU / Linux: Fundamentals and Practice</t>
  </si>
  <si>
    <t>Guilherme Rodrigues</t>
  </si>
  <si>
    <t>Administração de Servidores e Serviços de Rede</t>
  </si>
  <si>
    <t>Server Management and Network Services</t>
  </si>
  <si>
    <t>Segurança da Informação: conceitos para atuar nessa área</t>
  </si>
  <si>
    <t>Information Security: concepts to work in this area</t>
  </si>
  <si>
    <t>Glauco Sampaio</t>
  </si>
  <si>
    <t>Terminal Linux com Ubuntu</t>
  </si>
  <si>
    <t>Linux terminal Ubuntu</t>
  </si>
  <si>
    <t>Thiago S. Almeida</t>
  </si>
  <si>
    <t>A arte de falar bem</t>
  </si>
  <si>
    <t>The art of speaking well</t>
  </si>
  <si>
    <t>Rodrigo Pedrotti</t>
  </si>
  <si>
    <t>OKR: Metodologia e Aplicação (COMPLETO)</t>
  </si>
  <si>
    <t>OKR: Methodology and Application (FULL)</t>
  </si>
  <si>
    <t>INTELIGÊNCIA EMOCIONAL : Fundamentos e como Desenvolver</t>
  </si>
  <si>
    <t>EMOTIONAL INTELLIGENCE: Fundamentals and how to develop</t>
  </si>
  <si>
    <t>Rafael Tiba</t>
  </si>
  <si>
    <t>Fundamentos da Liderança e como fazer Gestão de Pessoas</t>
  </si>
  <si>
    <t>Foundations of Leadership and how to People Management</t>
  </si>
  <si>
    <t>Gestão de Conflitos: PNL e Psicologia aplicados</t>
  </si>
  <si>
    <t>Conflict Management: applied NLP and Psychology</t>
  </si>
  <si>
    <t>Gabriel Vaz</t>
  </si>
  <si>
    <t>Design Thinking - Práticas e Ferramentas para Gerar Inovação</t>
  </si>
  <si>
    <t>Design Thinking - Practices and Tools to Generate Innovation</t>
  </si>
  <si>
    <t>Educamind Academy</t>
  </si>
  <si>
    <t>Soft-skills: Liderança de Alto Desempenho</t>
  </si>
  <si>
    <t>Soft-skills: High Performance Leadership</t>
  </si>
  <si>
    <t>Pilar Sanchez Albaladejo</t>
  </si>
  <si>
    <t>Design Thinking de A à Z: o curso completo</t>
  </si>
  <si>
    <t>Design Thinking from A to Z: the complete course</t>
  </si>
  <si>
    <t>Bruna Ruschel</t>
  </si>
  <si>
    <t>Guia para Desbloquear a Criatividade e ter Ideias Originais</t>
  </si>
  <si>
    <t>Guide to Unlock Creativity and have Original Ideas</t>
  </si>
  <si>
    <t>Como Falar em Público - Os Oito Segredos</t>
  </si>
  <si>
    <t>As Public Speaking - The Eight Secrets</t>
  </si>
  <si>
    <t>Roberto Silva</t>
  </si>
  <si>
    <t>Como ser um Profissional de Destaque</t>
  </si>
  <si>
    <t>How to Be a Featured Professional</t>
  </si>
  <si>
    <t>Camila Carvalho</t>
  </si>
  <si>
    <t>GMO I Gestão de Mudanças I Change Management para Resultados</t>
  </si>
  <si>
    <t>I GMO Change Management I Change Management for Results</t>
  </si>
  <si>
    <t>Lucia Torres</t>
  </si>
  <si>
    <t>Destrava! O método para falar em público sem medo</t>
  </si>
  <si>
    <t>Unlock! The method for speaking in public without fear</t>
  </si>
  <si>
    <t>Renê Chiari</t>
  </si>
  <si>
    <t>Liderança de Alta Performance</t>
  </si>
  <si>
    <t>High Performance Leadership</t>
  </si>
  <si>
    <t>Cleber Romero</t>
  </si>
  <si>
    <t>Fast MBA - Specialist | Solução Estratégica de Problemas</t>
  </si>
  <si>
    <t>Fast MBA - Specialist | Strategic Problem Solving</t>
  </si>
  <si>
    <t>André Bernardo</t>
  </si>
  <si>
    <t>Escrita Total - Método de Escrita Criativa Para Todo Texto</t>
  </si>
  <si>
    <t>Total Writing - Writing Creative Method For All Text</t>
  </si>
  <si>
    <t>Edvaldo Pereira Lima</t>
  </si>
  <si>
    <t>MBA Completo em 1 Curso: Prof Premiado de Escola de Negócios</t>
  </si>
  <si>
    <t>MBA Full Course in 1: Prof Award winning Business School</t>
  </si>
  <si>
    <t>Chris Haroun</t>
  </si>
  <si>
    <t>Trabalho Remoto: O Guia completo para o sucesso.</t>
  </si>
  <si>
    <t>Remote working: The Complete Guide to success.</t>
  </si>
  <si>
    <t>Gestão de pessoas: me tornei gestor, e agora?</t>
  </si>
  <si>
    <t>People management: I became manager, and now?</t>
  </si>
  <si>
    <t>Sabine Bolonhini</t>
  </si>
  <si>
    <t>História &amp; Roteiro: Curso Completo de Roteiro e Storytelling</t>
  </si>
  <si>
    <t>Story &amp; Screenplay: Script Complete Course and Storytelling</t>
  </si>
  <si>
    <t>Thiago Fogaça</t>
  </si>
  <si>
    <t>Administração Empreendedora e Startups</t>
  </si>
  <si>
    <t>Entrepreneurial Startups and administration</t>
  </si>
  <si>
    <t>Marcelo Barcia</t>
  </si>
  <si>
    <t>Coaching de Liderança - Seja um Master Líder Coach</t>
  </si>
  <si>
    <t>Leadership Coaching - Be a Leader Master Coach</t>
  </si>
  <si>
    <t>Daniel Moreira Braga de Lima</t>
  </si>
  <si>
    <t>Introdução à Linguagem Simples (Plain Language)</t>
  </si>
  <si>
    <t>Getting Started the Simple Language (Plain Language)</t>
  </si>
  <si>
    <t>Heloisa Fischer</t>
  </si>
  <si>
    <t>Negociação de Alta Performance: da teoria à prática</t>
  </si>
  <si>
    <t>Trading High Performance: from theory to practice</t>
  </si>
  <si>
    <t>Bruno Rabin</t>
  </si>
  <si>
    <t>Curso completo para falar em público e fazer apresentações</t>
  </si>
  <si>
    <t>Complete course in public speaking and presentations</t>
  </si>
  <si>
    <t>Alex Oliveira</t>
  </si>
  <si>
    <t>Design Estratégico e Gestão de Marcas</t>
  </si>
  <si>
    <t>Strategic Design and Brand Management</t>
  </si>
  <si>
    <t>Saibalá - Escola Online de Economia Criativa</t>
  </si>
  <si>
    <t>Como falar bem em público e fazer boas apresentações</t>
  </si>
  <si>
    <t>How to speak well in public and make good presentations</t>
  </si>
  <si>
    <t>Comunicação Assertiva</t>
  </si>
  <si>
    <t>Assertive communication</t>
  </si>
  <si>
    <t>Dante Bonetti</t>
  </si>
  <si>
    <t>OKR - Curso preparatório para o exame de certificação OKRCP</t>
  </si>
  <si>
    <t>OKR - Preparatory course for the examination of certification OKRCP</t>
  </si>
  <si>
    <t>Elias Daher Junior</t>
  </si>
  <si>
    <t>Os segredos da Influência e linguagem corporal</t>
  </si>
  <si>
    <t>Secrets of Influence and body language</t>
  </si>
  <si>
    <t>Danilo Marcos Farias Mota ✅</t>
  </si>
  <si>
    <t>Desenvolva sua Liderança com o Programa TOOL</t>
  </si>
  <si>
    <t>Develop your Leadership Program with TOOL</t>
  </si>
  <si>
    <t>Ricardo Mallet</t>
  </si>
  <si>
    <t>Employer Branding: as bases da marca empregadora</t>
  </si>
  <si>
    <t>Employer Branding: the bases of employing mark</t>
  </si>
  <si>
    <t>Bruna Gomes Mascarenhas</t>
  </si>
  <si>
    <t>Introdução à Administração de Contratos</t>
  </si>
  <si>
    <t>Introduction to Contract Administration</t>
  </si>
  <si>
    <t>Saulo Dos Santos Junior</t>
  </si>
  <si>
    <t>Influência, Persuasão e Liderança</t>
  </si>
  <si>
    <t>Influence, Persuasion and Leadership</t>
  </si>
  <si>
    <t>Paulo Mattos</t>
  </si>
  <si>
    <t>Comunicação Consciente: aprenda a comunicar de verdade!</t>
  </si>
  <si>
    <t>Conscious Communication: Learn to communicate truth!</t>
  </si>
  <si>
    <t>Paula Boarin</t>
  </si>
  <si>
    <t>Zoom Expert - Reuniões online profissionais</t>
  </si>
  <si>
    <t>Zoom Expert - Meeting professionals online</t>
  </si>
  <si>
    <t>Tiago de Macedo</t>
  </si>
  <si>
    <t>Modelo de Negócios Canvas: Transformando Ideias em Negócios</t>
  </si>
  <si>
    <t>Business Model Canvas: Turning Ideas into Business</t>
  </si>
  <si>
    <t>Caio Oliveira</t>
  </si>
  <si>
    <t>Oratória e Comunicação (como expor suas ideias em público)</t>
  </si>
  <si>
    <t>Public Speaking and Communication (how to expose their public ideas)</t>
  </si>
  <si>
    <t>FABIO BLANCO</t>
  </si>
  <si>
    <t>Aprenda a falar bem: dicção</t>
  </si>
  <si>
    <t>Learn to speak well: diction</t>
  </si>
  <si>
    <t>Mannu Legraf</t>
  </si>
  <si>
    <t>8 passos para resolver problemas - Metodologia 8D</t>
  </si>
  <si>
    <t>8 steps to solve problems - Methodology 8D</t>
  </si>
  <si>
    <t>Prof Ronaldo Veloso</t>
  </si>
  <si>
    <t>Comunicação e Cultura em Negócios Internacionais</t>
  </si>
  <si>
    <t>Communication and Culture in International Business</t>
  </si>
  <si>
    <t>Bruna Claas</t>
  </si>
  <si>
    <t>Empresas Familiares - desafios e oportunidades</t>
  </si>
  <si>
    <t>Family Business - challenges and opportunities</t>
  </si>
  <si>
    <t>Rodrigo Miranda</t>
  </si>
  <si>
    <t>Pricing . Gestão Estratégica de Preços</t>
  </si>
  <si>
    <t>Pricing. Strategic Pricing Management</t>
  </si>
  <si>
    <t>Autêntica Play</t>
  </si>
  <si>
    <t>Mediação de Conflitos: Curso Básico Foco na Prática</t>
  </si>
  <si>
    <t>Conflict Mediation: Basic Course Focus on Practice</t>
  </si>
  <si>
    <t>Suelen Hedissa Lucas Santos</t>
  </si>
  <si>
    <t>Oratória e Formação de Palestrantes</t>
  </si>
  <si>
    <t>Public Speaking and Training Speakers</t>
  </si>
  <si>
    <t>Kadu Santos</t>
  </si>
  <si>
    <t>Transformando Conflitos nas Organizações</t>
  </si>
  <si>
    <t>Transforming Conflicts in Organizations</t>
  </si>
  <si>
    <t>Burithi Transformando Conflitos</t>
  </si>
  <si>
    <t>Curso Completo de Marketing Digital - 23 Cursos em 1</t>
  </si>
  <si>
    <t>Digital Marketing Full course - 23 courses 1</t>
  </si>
  <si>
    <t>Curso Completo de Instagram Marketing</t>
  </si>
  <si>
    <t>Full course Instagram Marketing</t>
  </si>
  <si>
    <t>Fast MBA - Empreendedorismo, Negócios e Startups na Prática.</t>
  </si>
  <si>
    <t>Fast MBA - Entrepreneurship, Business and Startups in Practice.</t>
  </si>
  <si>
    <t>Google Ads (Adwords) COMPLETO + Remarketing + Youtube Ads</t>
  </si>
  <si>
    <t>Erick Scudero</t>
  </si>
  <si>
    <t>Branding e Marketing - Criação e Gestão de Marcas de Sucesso</t>
  </si>
  <si>
    <t>Branding and Marketing - Creation and Successful Brand Management</t>
  </si>
  <si>
    <t>M2up ⚡</t>
  </si>
  <si>
    <t>Neuromarketing Aplicado nas Estratégias Digitais 2021</t>
  </si>
  <si>
    <t>Neuromarketing Applied Digital Strategies in 2021</t>
  </si>
  <si>
    <t>Luciano Castro</t>
  </si>
  <si>
    <t>Curso Completo de WhatsApp Marketing</t>
  </si>
  <si>
    <t>Full course WhatsApp Marketing</t>
  </si>
  <si>
    <t>Como Criar Imagens para as Redes Sociais</t>
  </si>
  <si>
    <t>Creating Images for Social Networks</t>
  </si>
  <si>
    <t>Cristiane Thiel</t>
  </si>
  <si>
    <t>Curso Completo de Facebook Ads &amp; Instagram Ads</t>
  </si>
  <si>
    <t>Full course Facebook Ads &amp; Instagram Ads</t>
  </si>
  <si>
    <t>Instagram Marketing e IGTV (2020) - O curso mais COMPLETO</t>
  </si>
  <si>
    <t>Instagram Marketing and IGTV (2020) - The most COMPLETE course</t>
  </si>
  <si>
    <t>Curso de SEO Completo - Do básico ao avançado.</t>
  </si>
  <si>
    <t>Course SEO Full - From basic to advanced.</t>
  </si>
  <si>
    <t>Ricardo Zacho</t>
  </si>
  <si>
    <t>Como criar Marcas do Zero - Pequenos e Médios Negócios</t>
  </si>
  <si>
    <t>Creating Zero marks - Small and Medium Business</t>
  </si>
  <si>
    <t>Louise T.</t>
  </si>
  <si>
    <t>Curso de Google Analytics - Do básico ao avançado!</t>
  </si>
  <si>
    <t>Course Google Analytics - From basic to advanced!</t>
  </si>
  <si>
    <t>SEO WordPress: Como aparecer no Google</t>
  </si>
  <si>
    <t>WordPress SEO: How to appear in Google</t>
  </si>
  <si>
    <t>Curso Completo de Google Ads (AdWords) do Básico ao Avançado</t>
  </si>
  <si>
    <t>Google Complete Course Ads (AdWords) Basic to Advanced</t>
  </si>
  <si>
    <t>Thiago Moch</t>
  </si>
  <si>
    <t>Curso de Facebooks Ads &amp; Instagram Ads - do Zero ao Avançado</t>
  </si>
  <si>
    <t>Course Facebooks Ads &amp; Instagram Ads - Zero to Advanced</t>
  </si>
  <si>
    <t>Introdução à Estratégia e Redação Publicitária (Copywriting)</t>
  </si>
  <si>
    <t>Introduction to Strategy and Copywriting (Copywriting)</t>
  </si>
  <si>
    <t>Curso Instagram Marketing Completo - Do Básico ao Avançado.</t>
  </si>
  <si>
    <t>Full course Instagram Marketing - From Basic to Advanced.</t>
  </si>
  <si>
    <t>YouTube SEO - Seu Video Na Primeira Pagina Do YouTube</t>
  </si>
  <si>
    <t>YouTube SEO - Your Video On First Page Of YouTube</t>
  </si>
  <si>
    <t>Curso Google Analytics</t>
  </si>
  <si>
    <t>Course Google Analytics</t>
  </si>
  <si>
    <t>Estratégia de Marketing</t>
  </si>
  <si>
    <t>Marketing strategy</t>
  </si>
  <si>
    <t>Growth Hacking com Marketing Digital</t>
  </si>
  <si>
    <t>Instagram Stories 2020: Um Guia Para Conquistar Clientes</t>
  </si>
  <si>
    <t>Instagram Stories 2020: A Guide To Winning Customers</t>
  </si>
  <si>
    <t>IClass Cursos Online</t>
  </si>
  <si>
    <t>YouTube SEO - Como criar e crescer o seu canal no YouTube</t>
  </si>
  <si>
    <t>YouTube SEO - How to create and grow your channel on YouTube</t>
  </si>
  <si>
    <t>Daniel Mori</t>
  </si>
  <si>
    <t>Curso de Branding Digital: Estratégias de Marcas e Negócios</t>
  </si>
  <si>
    <t>Digital Branding Course: Brand Strategies and Business</t>
  </si>
  <si>
    <t>Inbound Marketing: Conquiste Muitos Clientes Pela Internet</t>
  </si>
  <si>
    <t>Inbound Marketing: Conquer Many Customers By Internet</t>
  </si>
  <si>
    <t>Otimização de sites com Google Search Console - Curso de SEO</t>
  </si>
  <si>
    <t>Website Optimization with Google Webmaster - SEO Course</t>
  </si>
  <si>
    <t>Trade Marketing na prática: a área, o mercado e carreira</t>
  </si>
  <si>
    <t>Trade Marketing in Practice: the area, the market and career</t>
  </si>
  <si>
    <t>Marcelo Ermini me</t>
  </si>
  <si>
    <t>Curso Completo de YouTube Marketing</t>
  </si>
  <si>
    <t>Full course YouTube Marketing</t>
  </si>
  <si>
    <t>Gestão de Marketing | Atualizado |</t>
  </si>
  <si>
    <t>Marketing Management | updated |</t>
  </si>
  <si>
    <t>Ronilde Martins</t>
  </si>
  <si>
    <t>Curso de SEO ON-PAGE do Iniciante ao Avançado (2021)</t>
  </si>
  <si>
    <t>Course SEO ON PAGE Beginner to Advanced (2021)</t>
  </si>
  <si>
    <t>Caio Rodrigues</t>
  </si>
  <si>
    <t>Curso Completo de Google Ads</t>
  </si>
  <si>
    <t>Complete course Google Ads</t>
  </si>
  <si>
    <t>Marketing Essencial: o que de fato funciona em Marketing!</t>
  </si>
  <si>
    <t>Essential Marketing: what really works in marketing!</t>
  </si>
  <si>
    <t>Igdal Parnes</t>
  </si>
  <si>
    <t>Curso Completo de Email Marketing com MailChimp</t>
  </si>
  <si>
    <t>Full course with MailChimp Email Marketing</t>
  </si>
  <si>
    <t>Chatbot Avançado com Manychat PRO - Seja um Expert</t>
  </si>
  <si>
    <t>Advanced chatbot with Manychat PRO - Be an Expert</t>
  </si>
  <si>
    <t>Automatizando Campanhas de Email Marketing com Mautic</t>
  </si>
  <si>
    <t>Automating Email Marketing Campaigns with Mautic</t>
  </si>
  <si>
    <t>Curso de Google Ads (AdWords) COMPLETO 2020 - 7 cursos em 1.</t>
  </si>
  <si>
    <t>Google Travel Ads (AdWords) FULL 2020-7 courses 1.</t>
  </si>
  <si>
    <t>Curso Completo de Anúncios no Instagram</t>
  </si>
  <si>
    <t>Ads Complete Course on Instagram</t>
  </si>
  <si>
    <t>Gatilhos Mentais: Conquiste clientes de forma cativante</t>
  </si>
  <si>
    <t>Mental triggers: Conquer customer engagingly</t>
  </si>
  <si>
    <t>Youtube Ads 2020 COMPLETO (4 Campanhas em 1) + Remarketing</t>
  </si>
  <si>
    <t>YouTube ads 2020 COMPLETE (4 campaigns in 1) + Remarketing</t>
  </si>
  <si>
    <t>Growth Hacking na Prática: Cases e Hacks</t>
  </si>
  <si>
    <t>Growth Hacking in Practice: Cases and Hacks</t>
  </si>
  <si>
    <t>Jana Ramos</t>
  </si>
  <si>
    <t>PROPAGANDA DE RESULTADO - Como criar a sua.</t>
  </si>
  <si>
    <t>ADVERTISING INCOME - How to create your own.</t>
  </si>
  <si>
    <t>Alexandre Prado</t>
  </si>
  <si>
    <t>Como Vender Mais Com Ofertas Poderosas e Persuasivas + Copy</t>
  </si>
  <si>
    <t>How to Sell More With Offers Powerful and Persuasive Copy +</t>
  </si>
  <si>
    <t>Edson L P Camacho</t>
  </si>
  <si>
    <t>Google meu Negócio e os Segredos do Posicionamento Local</t>
  </si>
  <si>
    <t>Google My Business and the Positioning of Local Secrets</t>
  </si>
  <si>
    <t>Luciano Arthur Bublitz</t>
  </si>
  <si>
    <t>Google ADS (Adwords) Masterclass: Venda Mais Com o GoogleADS</t>
  </si>
  <si>
    <t>ADS Google (Adwords) Masterclass: Venda Mais Com is GoogleADS</t>
  </si>
  <si>
    <t>Igor Botelho</t>
  </si>
  <si>
    <t>Facebook Ads: Como Promover Seu Negócio Local no Facebook</t>
  </si>
  <si>
    <t>Facebook Ads: How To Promote Your Local Business on Facebook</t>
  </si>
  <si>
    <t>Copywriting: As 7 fórmulas atemporais para cartas de vendas.</t>
  </si>
  <si>
    <t>Copywriting: The 7 timeless formulas for sales letters.</t>
  </si>
  <si>
    <t>Gustavo Loureiro dos Reis</t>
  </si>
  <si>
    <t>Curso Completo de Podcasting</t>
  </si>
  <si>
    <t>Full course of Podcasting</t>
  </si>
  <si>
    <t>Curso Completo de Facebook Retargeting</t>
  </si>
  <si>
    <t>Full course Facebook Retargeting</t>
  </si>
  <si>
    <t>Pinterest Para Negócios - 2020: Marketing Digital Poderoso</t>
  </si>
  <si>
    <t>Pinterest for Business - 2020: Digital Marketing Powerful</t>
  </si>
  <si>
    <t>Google Ads e Facebook Ads - Marketing Digital Iniciantes</t>
  </si>
  <si>
    <t>Google Ads and Facebook Ads - Digital Marketing Beginners</t>
  </si>
  <si>
    <t>Marketing 4.0 - Na prática - Completo 2020</t>
  </si>
  <si>
    <t>Marketing 4.0 - In practice - Complete 2020</t>
  </si>
  <si>
    <t>Cássio D'Lima</t>
  </si>
  <si>
    <t>Google Tag Manager para Leigos</t>
  </si>
  <si>
    <t>Google Tag Manager for Dummies</t>
  </si>
  <si>
    <t>Matthaeus Carvalho</t>
  </si>
  <si>
    <t>Copywriting Expert | Torne-se um Mestre das Vendas</t>
  </si>
  <si>
    <t>Copywriting Expert | Become a Master of Sales</t>
  </si>
  <si>
    <t>Google Analytics COMPLETO - Do Zero ao PRO</t>
  </si>
  <si>
    <t>Google Analytics FULL - From Zero to PRO</t>
  </si>
  <si>
    <t>Do Básico ao Avançado - O Curso Completo de Microsoft Excel</t>
  </si>
  <si>
    <t>Basic to Advanced - The Course Microsoft Excel Complete</t>
  </si>
  <si>
    <t>Excel Básico Avançado 5 Cursos - Formação Especialista</t>
  </si>
  <si>
    <t>Excel Basic Advanced Courses 5 - Training Specialist</t>
  </si>
  <si>
    <t>Jilson Rodrigues</t>
  </si>
  <si>
    <t>Gestão do Tempo para Alta Performance</t>
  </si>
  <si>
    <t>Time Management for High Performance</t>
  </si>
  <si>
    <t>Marcos Barros</t>
  </si>
  <si>
    <t>HIPER-FOCO &amp; HIPER-PRODUTIVIDADE</t>
  </si>
  <si>
    <t>HYPER-FOCUS &amp; HYPER PRODUCTIVITY</t>
  </si>
  <si>
    <t>Hackers do Estudo</t>
  </si>
  <si>
    <t>Macros VBA para Excel Completo - Construa 7+ Ferramentas</t>
  </si>
  <si>
    <t>VBA macros for Excel Full - Build Tools 7+</t>
  </si>
  <si>
    <t>Curso Excel COMPLETO do Básico ao Avançado</t>
  </si>
  <si>
    <t>Course Excel FULL Basic to Advanced</t>
  </si>
  <si>
    <t>Descomplica Excel - Básico ao Avançado em apenas 30 dias ⌛</t>
  </si>
  <si>
    <t>Descomplica Excel - Beginner to Advanced in just 30 days ⌛</t>
  </si>
  <si>
    <t>Josué Gimenes</t>
  </si>
  <si>
    <t>Criando Apresentações Dinâmicas e Interativas com PowerPoint</t>
  </si>
  <si>
    <t>Creating Dynamic and Interactive Presentations with PowerPoint</t>
  </si>
  <si>
    <t>Ismar Souza</t>
  </si>
  <si>
    <t>Pacote Office - Microsoft Office Essencial</t>
  </si>
  <si>
    <t>Office suite - Microsoft Office Essential</t>
  </si>
  <si>
    <t>✅Básico ao Avançado - O curso Completo de Macros e VBA Excel</t>
  </si>
  <si>
    <t>✅Básico to Advanced - The Complete Course macros and Excel VBA</t>
  </si>
  <si>
    <t>Aprenda facilmente a criar Dashboards incríveis no Excel</t>
  </si>
  <si>
    <t>Learn easily create amazing Dashboards in Excel</t>
  </si>
  <si>
    <t>Deodato Fonseca</t>
  </si>
  <si>
    <t>Google Drive - Curso completo</t>
  </si>
  <si>
    <t>Google Drive - Full Course</t>
  </si>
  <si>
    <t>Elói Thomaz</t>
  </si>
  <si>
    <t>Curso Better PPT : Crie Apresentações PowerPoint que Arrasam</t>
  </si>
  <si>
    <t>Better course PPT: Create PowerPoint presentations that devastate</t>
  </si>
  <si>
    <t>Gestão Ágil com Microsoft Planner</t>
  </si>
  <si>
    <t>Agile Management with Microsoft Planner</t>
  </si>
  <si>
    <t>Kelsen Lima</t>
  </si>
  <si>
    <t>Automatize o SAP|Excel, Ribbon e Macros|SAP Aberto/Fechado</t>
  </si>
  <si>
    <t>Automate SAP | Excel, Ribbon and Macros | SAP Open / Closed</t>
  </si>
  <si>
    <t>Ivair Claudio Ferrari</t>
  </si>
  <si>
    <t>No dia a dia da empresa com o Office 365</t>
  </si>
  <si>
    <t>On the day of the company with Office 365</t>
  </si>
  <si>
    <t>Ricardo Pacheco</t>
  </si>
  <si>
    <t>Curso de tabela dinâmica no Excel - Prático e rápido!</t>
  </si>
  <si>
    <t>PivotTable in Excel course - Convenient and fast!</t>
  </si>
  <si>
    <t>PowerPoint Completo | Crie Apresentações Profissionais</t>
  </si>
  <si>
    <t>Full PowerPoint | Create Professional Presentations</t>
  </si>
  <si>
    <t>Bowtie Training Center</t>
  </si>
  <si>
    <t>Curso de Excel Construindo Dashboards Profissionais.</t>
  </si>
  <si>
    <t>Course Excel Dashboards Building Professionals.</t>
  </si>
  <si>
    <t>Defina, Planeje e Alcance suas Metas em 2021</t>
  </si>
  <si>
    <t>Set, Plan and Achieve your Goals in 2021</t>
  </si>
  <si>
    <t>Como Desenvolver sua Autodisciplina</t>
  </si>
  <si>
    <t>How to Develop Your Self-Discipline</t>
  </si>
  <si>
    <t>Fred Graef</t>
  </si>
  <si>
    <t>Microsoft Office Completo - Excel, Access e Word</t>
  </si>
  <si>
    <t>Excel-ProcV sem Limites</t>
  </si>
  <si>
    <t>Excel VLOOKUP-Unlimited</t>
  </si>
  <si>
    <t>Angelo Ponciano</t>
  </si>
  <si>
    <t>Curso de Introdução às Planilhas do Excel 2016/365:Essencial</t>
  </si>
  <si>
    <t>Course Introduction to Excel spreadsheets 2016/365: Essential</t>
  </si>
  <si>
    <t>Análise de Dados com Tabela Dinâmica Excel - Curso Completo</t>
  </si>
  <si>
    <t>Data analysis with Excel PivotTable - Complete Course</t>
  </si>
  <si>
    <t>Excel Profissional | Do Básico ao Avançado</t>
  </si>
  <si>
    <t>Professional Excel | Basic to Advanced</t>
  </si>
  <si>
    <t>Excel Essencial - Curso Completo</t>
  </si>
  <si>
    <t>Excel Essential - Complete Course</t>
  </si>
  <si>
    <t>Pacote Office 2019 - Do Básico ao Avançado com VBA</t>
  </si>
  <si>
    <t>Package Office 2019 - From Basic to Advanced with VBA</t>
  </si>
  <si>
    <t>G Suite do Google - Seja o profissional do futuro hoje!</t>
  </si>
  <si>
    <t>G Google Suite - Be the professional future today!</t>
  </si>
  <si>
    <t>Qi Network</t>
  </si>
  <si>
    <t>Microsoft Office - Word e Excel Iniciante ao Intermediário</t>
  </si>
  <si>
    <t>Microsoft Office - Word and Excel Beginner to Intermediate</t>
  </si>
  <si>
    <t>Dashboards em Excel - Focado ao ambiente Empresarial!</t>
  </si>
  <si>
    <t>Dashboards in Excel - Focusing the Business Environment!</t>
  </si>
  <si>
    <t>Marcelo Henrique</t>
  </si>
  <si>
    <t>Excel : Gráficos, infográficos e Dashboards Profissionais.</t>
  </si>
  <si>
    <t>Excel: Charts, graphics and Dashboards Professionals.</t>
  </si>
  <si>
    <t>Excel Dashboard para Análise de Dados</t>
  </si>
  <si>
    <t>Excel Dashboard for Data Analysis</t>
  </si>
  <si>
    <t>VBA: Como Desenvolver Ferramentas Incríveis no Excel</t>
  </si>
  <si>
    <t>VBA: How to Develop Special Tools in Excel</t>
  </si>
  <si>
    <t>Max Carvalho</t>
  </si>
  <si>
    <t>Animação no PowerPoint: Slides Animados e Efeitos Incríveis</t>
  </si>
  <si>
    <t>Animation in PowerPoint: Slides and Animated Effects Special</t>
  </si>
  <si>
    <t>Criando Slides e Apresentações Interativas no PowerPoint</t>
  </si>
  <si>
    <t>Creating Slides and Interactive Presentations in PowerPoint</t>
  </si>
  <si>
    <t>Academia PowerPoint</t>
  </si>
  <si>
    <t>Curso de Vídeos Animados com PowerPoint</t>
  </si>
  <si>
    <t>Course Animated videos with PowerPoint</t>
  </si>
  <si>
    <t>Curso de Excel Expert do básico ao avançado + Dashboards</t>
  </si>
  <si>
    <t>Excel Expert Course from beginner to advanced + Dashboards</t>
  </si>
  <si>
    <t>Curso de Excel Avançado - Gráficos Previsto e Realizado</t>
  </si>
  <si>
    <t>Excel Advanced Course - Graphics Planned and Realized</t>
  </si>
  <si>
    <t>Adriano Pataro</t>
  </si>
  <si>
    <t>Microsoft Word Super Completo do Básico ao Avançado</t>
  </si>
  <si>
    <t>Microsoft Word Super Full Basic to Advanced</t>
  </si>
  <si>
    <t>Ricardo Oliveira Cunha</t>
  </si>
  <si>
    <t>Curso de Word 2019 Básico e Avançado</t>
  </si>
  <si>
    <t>Course Word 2019 Basic and Advanced</t>
  </si>
  <si>
    <t>Microsoft PowerPoint Super Completo do Básico ao Avançado</t>
  </si>
  <si>
    <t>Microsoft PowerPoint Super Full Basic to Advanced</t>
  </si>
  <si>
    <t>Google G suite - do Usuário ao Administrador</t>
  </si>
  <si>
    <t>Google G suite - the User to Administrator</t>
  </si>
  <si>
    <t>Rodrigo Augusto Martins</t>
  </si>
  <si>
    <t>Curso de Excel Construindo Gráficos e Infográficos.</t>
  </si>
  <si>
    <t>Course Excel Building Charts and Infographics.</t>
  </si>
  <si>
    <t>Macro para Excel VBA para Iniciantes</t>
  </si>
  <si>
    <t>Macro for Excel VBA for Beginners</t>
  </si>
  <si>
    <t>Crie Apresentações Profissionais no PowerPoint</t>
  </si>
  <si>
    <t>Create Professional Presentations in PowerPoint</t>
  </si>
  <si>
    <t>Leonardo Werneck Paulo</t>
  </si>
  <si>
    <t>Excel Focado para o Ambiente Empresarial-Básico ao Avançado!</t>
  </si>
  <si>
    <t>Focused Excel for Business-Basic to Advanced Environment!</t>
  </si>
  <si>
    <t>Gmail para Negócios: Técnicas de organização</t>
  </si>
  <si>
    <t>Gmail for Business: Organizational Techniques</t>
  </si>
  <si>
    <t>Glauko Carvalho</t>
  </si>
  <si>
    <t>Inglês Extremo - Curso Completo do Zero à Fluência</t>
  </si>
  <si>
    <t>English Far - Zero Complete Course to Fluency</t>
  </si>
  <si>
    <t>Inglês Extremo</t>
  </si>
  <si>
    <t>Inglês para Brasileiros : Caminho a Fluência Acelerada 1</t>
  </si>
  <si>
    <t>English to Brazilians: the Fluency Fast Path 1</t>
  </si>
  <si>
    <t>Terry Mc Gonigle</t>
  </si>
  <si>
    <t>Curso de Inglês! - O Fantástico Método para Ser Fluente</t>
  </si>
  <si>
    <t>English course! - Fantastic Method to Be Fluent</t>
  </si>
  <si>
    <t>Vinícius Braga</t>
  </si>
  <si>
    <t>Personal Finance</t>
  </si>
  <si>
    <t>Curso Completo de Educação Financeira</t>
  </si>
  <si>
    <t>Course Financial Education Full</t>
  </si>
  <si>
    <t>Erick Augusto</t>
  </si>
  <si>
    <t>Curso de Inglês: Completo, Fácil e Prático</t>
  </si>
  <si>
    <t>English Course: Complete, Easy and Convenient</t>
  </si>
  <si>
    <t>Paulo Barbosa de Castro</t>
  </si>
  <si>
    <t>HIPER-MEMÓRIA &amp; HIPER-APRENDIZAGEM</t>
  </si>
  <si>
    <t>HYPER MEMORY &amp; HYPER-LEARNING</t>
  </si>
  <si>
    <t>Inglês para Negócios (Business English)</t>
  </si>
  <si>
    <t>Business English (Business Inglês)</t>
  </si>
  <si>
    <t>Ester FS Chang</t>
  </si>
  <si>
    <t>O Guia COMPLETO Para Alta Produtividade + 4 Cursos Extras</t>
  </si>
  <si>
    <t>COMPLETE Guide To High Productivity + 4 Courses Extras</t>
  </si>
  <si>
    <t>Gestão de Tempo - como aumentar sua produtividade</t>
  </si>
  <si>
    <t>Time management - how to increase your productivity</t>
  </si>
  <si>
    <t>Marcus Oliveira Filho</t>
  </si>
  <si>
    <t>Curso Básico de Francês - Curso completo para iniciantes</t>
  </si>
  <si>
    <t>Basic Course of French - complete course for beginners</t>
  </si>
  <si>
    <t>Caio Cahone</t>
  </si>
  <si>
    <t>Inglês para Brasileiros : Caminho a Fluência Acelerada 2</t>
  </si>
  <si>
    <t>English Forums: Way to Fluency Fast 2</t>
  </si>
  <si>
    <t>Elimine a Procrastinação: Aumente sua Produtividade +3 Bônus</t>
  </si>
  <si>
    <t>Eliminate Procrastination: Increase Your Productivity Bonus +3</t>
  </si>
  <si>
    <t>Pronúncia Perfeita de Inglês Britânico e Americano</t>
  </si>
  <si>
    <t>Perfect pronunciation of British English and American</t>
  </si>
  <si>
    <t>Rebeca Gonçalves</t>
  </si>
  <si>
    <t>Curso de Libras - Aprenda Língua de Sinais de um Jeito Fácil</t>
  </si>
  <si>
    <t>Course Pounds - Learn Sign Language Easy Way a</t>
  </si>
  <si>
    <t>Introdução ao Desenho : Rosto, Expressões e Estilização!</t>
  </si>
  <si>
    <t>Introduction to Design: Face, Expressions &amp; Styling!</t>
  </si>
  <si>
    <t>Curso de Verb Tenses - Os 12 Tempos Verbais do Inglês</t>
  </si>
  <si>
    <t>Course of Verb Tenses - The 12 Times of English Verbal</t>
  </si>
  <si>
    <t>Vanina Junqueira França Felipe</t>
  </si>
  <si>
    <t>Como Criar e Usar Mapas Mentais Digitais (Guia Completo)</t>
  </si>
  <si>
    <t>Creating and Using Digital Mind Maps (Complete Guide)</t>
  </si>
  <si>
    <t>Aprenda Inglês Com Conversas: Mais Confiança Ao Falar Inglês</t>
  </si>
  <si>
    <t>Learn English With Conversations: More Confidence To Speak English</t>
  </si>
  <si>
    <t>Gabriel Silva</t>
  </si>
  <si>
    <t>Curso de Meditação Mindfulness de 4 Semanas para a Ansiedade</t>
  </si>
  <si>
    <t>Mindfulness Meditation course of 4 weeks for Anxiety</t>
  </si>
  <si>
    <t>Rafael .CG</t>
  </si>
  <si>
    <t>Língua Brasileira de Sinais (LIBRAS) do básico à conversação</t>
  </si>
  <si>
    <t>Brazilian Sign Language (Libras) the basics conversation</t>
  </si>
  <si>
    <t>Alberto Rainha de Castro</t>
  </si>
  <si>
    <t>Administração do Tempo</t>
  </si>
  <si>
    <t>Time management</t>
  </si>
  <si>
    <t>Universidade Estácio</t>
  </si>
  <si>
    <t>Yoga em Casa - Volume 1</t>
  </si>
  <si>
    <t>Yoga at Home - Volume 1</t>
  </si>
  <si>
    <t>Exercício em Casa</t>
  </si>
  <si>
    <t>Aprenda Falar Chinês Mandarim em 10 dias - Chinese do zero</t>
  </si>
  <si>
    <t>Learn To Speak Mandarin Chinese in 10 days - Chinese scratch</t>
  </si>
  <si>
    <t>Cleber Florencio Lucena de Souza</t>
  </si>
  <si>
    <t>Japonês Básico - Escreva em japonês</t>
  </si>
  <si>
    <t>Basic Japanese - Write in Japanese</t>
  </si>
  <si>
    <t>Monica Velozo</t>
  </si>
  <si>
    <t>Latim na Ponta da Língua - Curso de Latim (Módulo 1)</t>
  </si>
  <si>
    <t>Latin in language Tip - Latin Course (Module 1)</t>
  </si>
  <si>
    <t>Alex Augusto Marcelo</t>
  </si>
  <si>
    <t>Curso Básico de Manga Desenho de Personagens</t>
  </si>
  <si>
    <t>Basic Course Manga Character Design</t>
  </si>
  <si>
    <t>Ranima Comp</t>
  </si>
  <si>
    <t>Inglês e Inteligência Artificial: Pronúncia Perfeita</t>
  </si>
  <si>
    <t>English and Artificial Intelligence: Perfect pronunciation</t>
  </si>
  <si>
    <t>Curso de Inglês para Tecnologia da Informação</t>
  </si>
  <si>
    <t>English Course for Information Technology</t>
  </si>
  <si>
    <t>Giorgi Bastos</t>
  </si>
  <si>
    <t>Guia de alongamentos e flexibilidade completo</t>
  </si>
  <si>
    <t>Guide stretches and complete flexibility</t>
  </si>
  <si>
    <t>André Oliveira</t>
  </si>
  <si>
    <t>Curso de Inglês - Domine Tempos Verbais e Fale Melhor Agora!</t>
  </si>
  <si>
    <t>English course - Master Times Best Verbal and Contact Now!</t>
  </si>
  <si>
    <t>Joshua - Professor Americano de Inglês</t>
  </si>
  <si>
    <t>Ginástica Aeróbica em casa (sem equipamentos)</t>
  </si>
  <si>
    <t>Aerobics at home (without equipment)</t>
  </si>
  <si>
    <t>Curso básico francês em francês 1: aprenda com aulas online</t>
  </si>
  <si>
    <t>French Basic Course in French 1: Learn from online classes</t>
  </si>
  <si>
    <t>SuperProdutividade : Produtividade, GTD e Gestão do Tempo</t>
  </si>
  <si>
    <t>SuperProdutividade: Productivity, GTD and Time Management</t>
  </si>
  <si>
    <t>HABILIDADE OCULTA | O FIM DA PROCRASTINAÇÃO</t>
  </si>
  <si>
    <t>SKILL HIDDEN | The END procrastination</t>
  </si>
  <si>
    <t>Caracteres Chineses Ilustrado e Animado</t>
  </si>
  <si>
    <t>Chinese characters Illustrated and Animated</t>
  </si>
  <si>
    <t>Inovação e criatividade nos negócios: do conceito à prática</t>
  </si>
  <si>
    <t>Innovation and creativity in business: from concept to practice</t>
  </si>
  <si>
    <t>Curso de Inglês de Negócios</t>
  </si>
  <si>
    <t>Business English Course</t>
  </si>
  <si>
    <t>Finanças Pessoais - Como Organizar sua Vida Financeira</t>
  </si>
  <si>
    <t>Personal Finance - How to Organize Your Financial Life</t>
  </si>
  <si>
    <t>Prof. Dr. Lucimar Sasso</t>
  </si>
  <si>
    <t>Curso de Estatística Inferencial - Do Básico ao Avançado</t>
  </si>
  <si>
    <t>Course of Inferential Statistics - From Basic to Advanced</t>
  </si>
  <si>
    <t>CRIATIVIDADE E INOVAÇÃO NOS NEGÓCIOS ★★★★★</t>
  </si>
  <si>
    <t>CREATIVITY AND INNOVATION IN BUSINESS ★★★★★</t>
  </si>
  <si>
    <t>Floriano Ferreira Junior</t>
  </si>
  <si>
    <t>Melhore Seu Jogo de Tênis: Aprenda com Andre Agassi</t>
  </si>
  <si>
    <t>Improve Your Tennis Game: Learn from Andre Agassi</t>
  </si>
  <si>
    <t>Narrativas Biográficas Em Estilo de Jornalismo Literário.</t>
  </si>
  <si>
    <t>Biographical narratives in Journalism Literary Style.</t>
  </si>
  <si>
    <t>Curso completo de Finanças Pessoais</t>
  </si>
  <si>
    <t>full course of Personal Finance</t>
  </si>
  <si>
    <t>Naiara Ziani</t>
  </si>
  <si>
    <t>Narrativas de Viagem em Estilo de Jornalismo LIterário</t>
  </si>
  <si>
    <t>Narratives of Travel Journalism Literary Style</t>
  </si>
  <si>
    <t>Curso de Libras - Básico</t>
  </si>
  <si>
    <t>Libras course - Basic</t>
  </si>
  <si>
    <t>Emanoela de oliveira santos</t>
  </si>
  <si>
    <t>Grego na Ponta da Língua - Curso de Grego Antigo (Módulo 2)</t>
  </si>
  <si>
    <t>Greek Language at the Tip - Ancient Greek Course (Module 2)</t>
  </si>
  <si>
    <t>Gestão Ágil com Scrum COMPLETO + 3 Cursos EXTRAS</t>
  </si>
  <si>
    <t>Agile Management with Scrum FULL + 3 courses EXTRAS</t>
  </si>
  <si>
    <t>Certificação Scrum Master: Curso Preparatório COMPLETO</t>
  </si>
  <si>
    <t>Scrum Master Certification: Preparatory Course COMPLETE</t>
  </si>
  <si>
    <t>Fundamentos do Scrum + Certificação Scrum Fundamentals (SFC)</t>
  </si>
  <si>
    <t>Scrum Fundamentals + Certification Scrum Fundamentals (SFC)</t>
  </si>
  <si>
    <t>Gestão de Projetos com Agile &amp; Scrum: O Guia Definitivo</t>
  </si>
  <si>
    <t>Project Management with Scrum Agile &amp;: The Definitive Guide</t>
  </si>
  <si>
    <t>Certificação Scrum Product Owner: Preparatório COMPLETO</t>
  </si>
  <si>
    <t>Scrum Product Owner Certification: Pre COMPLETE</t>
  </si>
  <si>
    <t>Governança de TI</t>
  </si>
  <si>
    <t>IT Governance</t>
  </si>
  <si>
    <t>George de Almeida Menezes</t>
  </si>
  <si>
    <t>Fast MBA - Projects | Gerenciamento de Projetos</t>
  </si>
  <si>
    <t>Fast MBA - Projects | Project management</t>
  </si>
  <si>
    <t>Gestão Ágil com Scrum - Preparatório certificação PSM I ™</t>
  </si>
  <si>
    <t>Agile Management with Scrum - Preparatory certification PSM I ™</t>
  </si>
  <si>
    <t>Jonathan Maia</t>
  </si>
  <si>
    <t>Scrum na prática, Gestão Ágil e Alta Performance + 6 Extras</t>
  </si>
  <si>
    <t>Scrum in practice, Agile Management and High Performance + 6 Extras</t>
  </si>
  <si>
    <t>Argus EAD</t>
  </si>
  <si>
    <t>Como criar um Backlog de Produto (PO, Scrum, Ágil)</t>
  </si>
  <si>
    <t>Creating a Product Backlog (PO, Scrum, Agile)</t>
  </si>
  <si>
    <t>Leandro Bodo</t>
  </si>
  <si>
    <t>Aprenda Mapeamento e Modelagem de Processos</t>
  </si>
  <si>
    <t>Learn Process Mapping and Modeling</t>
  </si>
  <si>
    <t>Max Santos</t>
  </si>
  <si>
    <t>Simulados para Certificações Scrum Master</t>
  </si>
  <si>
    <t>Simulated for Scrum Master Certification</t>
  </si>
  <si>
    <t>Conexão Agile Conectando você</t>
  </si>
  <si>
    <t>Mini-MBA Gestão de Projetos e Certificação PMP - 2020</t>
  </si>
  <si>
    <t>Mini-MBA Project Management and PMP Certification - 2020</t>
  </si>
  <si>
    <t>Rodrigo Lopes</t>
  </si>
  <si>
    <t>Kanban: O Guia Completo</t>
  </si>
  <si>
    <t>Kanban: The Complete Guide</t>
  </si>
  <si>
    <t>Preparatório para Certificação PMP®/CAPM® - PMBOK® v6</t>
  </si>
  <si>
    <t>Preparation for PMP® / CAPM® Certification - PMBOK® v6</t>
  </si>
  <si>
    <t>Formação em Análise de Negócios com base no Guia BABOK ® v3</t>
  </si>
  <si>
    <t>Training in Business Analysis based on BABOK Guide ® v3</t>
  </si>
  <si>
    <t>Fabrício Laguna</t>
  </si>
  <si>
    <t>Gestão de Projetos - Avançado</t>
  </si>
  <si>
    <t>Project Management - Advanced</t>
  </si>
  <si>
    <t>Scrum para Grandes Times: Scaled Agile - Escalando o Scrum</t>
  </si>
  <si>
    <t>Scrum for Great Times: Scaled Agile - Scaling Scrum</t>
  </si>
  <si>
    <t>MS Project completo + Curso Extra+ Update versão 2019</t>
  </si>
  <si>
    <t>MS Project + Full Course Extra + Update version 2019</t>
  </si>
  <si>
    <t>MS Project Completo: Gerenciamento de Projetos + [BÔNUS]</t>
  </si>
  <si>
    <t>Full MS Project: Project Management + [Bonus]</t>
  </si>
  <si>
    <t>Gabriel Macêdo Duarte</t>
  </si>
  <si>
    <t>Gestão de Processos: Como implantar, conduzir e melhorá-los</t>
  </si>
  <si>
    <t>Process Management: How to deploy, conduct and improve them</t>
  </si>
  <si>
    <t>Thiago Berka</t>
  </si>
  <si>
    <t>Do Waterfall ao Scrum: Acerte na Mudança do Modelo de Gestão</t>
  </si>
  <si>
    <t>From Waterfall to Scrum: Hit the Change Management Model</t>
  </si>
  <si>
    <t>Leandro da Costa Gonçalves</t>
  </si>
  <si>
    <t>Gestão de 5s na Prática</t>
  </si>
  <si>
    <t>Management in Practice 5s</t>
  </si>
  <si>
    <t>Pedro Conte</t>
  </si>
  <si>
    <t>Microsoft Project Completo - Do Básico ao Avançado</t>
  </si>
  <si>
    <t>Microsoft Project Full - From Basic to Advanced</t>
  </si>
  <si>
    <t>Cronoanálise aplicada em BPM e Lean Thinking</t>
  </si>
  <si>
    <t>Cronoanálise applied in BPM and Lean Thinking</t>
  </si>
  <si>
    <t>Luís Carlos Krupp</t>
  </si>
  <si>
    <t>Gerenciamento de Projetos com Project Libre</t>
  </si>
  <si>
    <t>Projectlibre with Project Management</t>
  </si>
  <si>
    <t>Resolvendo Problemas de Logística usando o Solver do Excel</t>
  </si>
  <si>
    <t>Solving problems of logistics using Excel Solver</t>
  </si>
  <si>
    <t>Cristina Gramani</t>
  </si>
  <si>
    <t>Project KPI: Crie Faróis e Indicadores no Ms Project</t>
  </si>
  <si>
    <t>KPI Project: Create lights and indicators in Ms Project</t>
  </si>
  <si>
    <t>Rubens do Carmo</t>
  </si>
  <si>
    <t>Automação de Processos no Bizagi</t>
  </si>
  <si>
    <t>Process Automation in Bizagi</t>
  </si>
  <si>
    <t>Dácio Salomão de Castro</t>
  </si>
  <si>
    <t>Aplicando a Gestão de Riscos na sua empresa (ISO 31000)</t>
  </si>
  <si>
    <t>Applying Risk Management in your company (ISO 31000)</t>
  </si>
  <si>
    <t>Luiz Eduardo Poggi, CISSP, CRISC, CISA, CGEIT, PCI-QSA, CDPSE, MCRM, MCSO</t>
  </si>
  <si>
    <t>Métricas para Times Ágeis</t>
  </si>
  <si>
    <t>Metrics for Agile Teams</t>
  </si>
  <si>
    <t>Vaner Teixeira</t>
  </si>
  <si>
    <t>Ms Project 2019 - Básico e Avançado + 2 cursos EXTRAS</t>
  </si>
  <si>
    <t>Ms Project 2019 - Basic and Advanced courses 2 + EXTRAS</t>
  </si>
  <si>
    <t>Gerenciamento de Risco com Simulação de Monte Carlo</t>
  </si>
  <si>
    <t>Risk management with Monte Carlo simulation</t>
  </si>
  <si>
    <t>Luiz Guilherme Carvalho</t>
  </si>
  <si>
    <t>EAP - Estrutura Analítica de um Projeto</t>
  </si>
  <si>
    <t>WBS - Work Breakdown Structure of a Project</t>
  </si>
  <si>
    <t>Vander Pinheiro</t>
  </si>
  <si>
    <t>Curso Completo Microsoft Project 2016</t>
  </si>
  <si>
    <t>Full course Microsoft Project 2016</t>
  </si>
  <si>
    <t>Carlos Silva Júnior</t>
  </si>
  <si>
    <t>Curso Completo de MS Project - Do básico ao Avançado</t>
  </si>
  <si>
    <t>Full course of MS Project - Beginners to Advanced</t>
  </si>
  <si>
    <t>Eduardo Yto</t>
  </si>
  <si>
    <t>Customer Experience: Garanta a melhor experiência ao cliente</t>
  </si>
  <si>
    <t>Customer Experience: Ensure better customer experience</t>
  </si>
  <si>
    <t>RB Treinamento e Cursos</t>
  </si>
  <si>
    <t>Curso "Negociação Ganha Ganha" com base no Modelo de Harvard</t>
  </si>
  <si>
    <t>Course "Trading Win Win" based on the Harvard model</t>
  </si>
  <si>
    <t>José Ricardo Noronha</t>
  </si>
  <si>
    <t>Curso de Técnicas de Vendas</t>
  </si>
  <si>
    <t>Sales Techniques course</t>
  </si>
  <si>
    <t>Customer Success na prática: Principais processos de CS</t>
  </si>
  <si>
    <t>Customer Success in practice: Main CS processes</t>
  </si>
  <si>
    <t>Sem Medo, Sem Crise e Vendendo Como Nunca!</t>
  </si>
  <si>
    <t>No Fear, No Crisis and Selling Like Never!</t>
  </si>
  <si>
    <t>Acelerador de Vendas - Argumentos que Vendem Mais</t>
  </si>
  <si>
    <t>Sales Accelerator - Arguments Sell More</t>
  </si>
  <si>
    <t>CRM . Gestão do Relacionamento com o Cliente</t>
  </si>
  <si>
    <t>CRM. Customer Relationship Management</t>
  </si>
  <si>
    <t>Aprenda a transformar seus clientes em fãs</t>
  </si>
  <si>
    <t>Learn how to turn your customers into fans</t>
  </si>
  <si>
    <t>Vendas da Prospecção a Negociação (COMPLETO): 15 CURSOS EM 1</t>
  </si>
  <si>
    <t>Sales Prospecting Negotiation (FULL): 15 COURSES 1</t>
  </si>
  <si>
    <t>Grupo Lu</t>
  </si>
  <si>
    <t>Fast MBA - Sales - Curso Completo de Vendas</t>
  </si>
  <si>
    <t>Fast MBA - Sales - Sales Complete Course</t>
  </si>
  <si>
    <t>Fast MBA</t>
  </si>
  <si>
    <t>Como Vender Mais Identificando o Estilo do Cliente</t>
  </si>
  <si>
    <t>How to Sell More Identifying Customer Style</t>
  </si>
  <si>
    <t>Como medir a Experiência do Cliente</t>
  </si>
  <si>
    <t>How to Measure Customer Experience</t>
  </si>
  <si>
    <t>ROX Consultoria</t>
  </si>
  <si>
    <t>Como se tornar um Vendedor Profissional</t>
  </si>
  <si>
    <t>How to Become a Professional Seller</t>
  </si>
  <si>
    <t>Marcelo Amaral</t>
  </si>
  <si>
    <t>Inteligência de Vendas</t>
  </si>
  <si>
    <t>Sales Intelligence</t>
  </si>
  <si>
    <t>Técnicas Essenciais de Vendas</t>
  </si>
  <si>
    <t>Sales of Essential Techniques</t>
  </si>
  <si>
    <t>Alex Martins Pereira</t>
  </si>
  <si>
    <t>Como estruturar a área de Customer Success do zero</t>
  </si>
  <si>
    <t>How to structure Success Customer Area scratch</t>
  </si>
  <si>
    <t>Customer Service: Curso de atendimento ao cliente de A a Z</t>
  </si>
  <si>
    <t>Customer Service: Customer Service Course from A to Z</t>
  </si>
  <si>
    <t>Isabel Árias</t>
  </si>
  <si>
    <t>CURSO MASTER EM NEGOCIAÇÃO E VENDAS</t>
  </si>
  <si>
    <t>MASTER COURSE IN TRADING AND SALES</t>
  </si>
  <si>
    <t>Ricardo da Silva</t>
  </si>
  <si>
    <t>Praticando Customer Experience</t>
  </si>
  <si>
    <t>Practicing Customer Experience</t>
  </si>
  <si>
    <t>Gestão Estratégica Focada em Vendas (COMPLETO)</t>
  </si>
  <si>
    <t>Focused Strategic Management Sales (FULL)</t>
  </si>
  <si>
    <t>Venda Mais Usando o Telefone (e Prospecte Mais)</t>
  </si>
  <si>
    <t>Sell ​​More Using Phone (Prospecte and More)</t>
  </si>
  <si>
    <t>Vendas de Serviços de Alto Valor</t>
  </si>
  <si>
    <t>High Value Service Sales</t>
  </si>
  <si>
    <t>Afonso Lopes</t>
  </si>
  <si>
    <t>PNL em Vendas - Como Vender Valor (e não o preço)</t>
  </si>
  <si>
    <t>NLP Sales - How to Sell value (not the price)</t>
  </si>
  <si>
    <t>Curso De Persuasão Em Vendas</t>
  </si>
  <si>
    <t>Persuasion Course In Sales</t>
  </si>
  <si>
    <t>André Zucca</t>
  </si>
  <si>
    <t>TELEVENDAS &amp; VENDAS INTERNAS - como vender por telefone</t>
  </si>
  <si>
    <t>TELESALES &amp; INTERNAL SALES - such as telephone selling</t>
  </si>
  <si>
    <t>Prof. Isaac Martins</t>
  </si>
  <si>
    <t>Vendas por Telefone - 2.0 (Cold Calling)</t>
  </si>
  <si>
    <t>Sales by phone - 2.0 (Cold Calling)</t>
  </si>
  <si>
    <t>Mauricio Cardoso</t>
  </si>
  <si>
    <t>CRM de Vendas e Prospecção Automática B2B com o Pcontrol</t>
  </si>
  <si>
    <t>CRM Sales and Prospecting B2B Automatic with Pcontrol</t>
  </si>
  <si>
    <t>SalesDraw: Certificação Pré-venda operação de prospecção B2B</t>
  </si>
  <si>
    <t>SalesDraw: Certified Pre-sales prospecting operation B2B</t>
  </si>
  <si>
    <t>Rodrigo Fernandes</t>
  </si>
  <si>
    <t>GESTÃO E SUPERVISÃO: Telemarketing, Call Center e Televendas</t>
  </si>
  <si>
    <t>MANAGEMENT AND SUPERVISION: Telemarketing, Call Center and Telemarketing</t>
  </si>
  <si>
    <t>Curso de Negociação e Vendas + PNL - Aprenda na prática!</t>
  </si>
  <si>
    <t>Course Trading and Sales + NLP - Learn in practice!</t>
  </si>
  <si>
    <t>Antonio Carlos Cardoso</t>
  </si>
  <si>
    <t>Fast MBA Lead - Liderança e Gestão de Pessoas</t>
  </si>
  <si>
    <t>Fast Lead MBA - Leadership and People Management</t>
  </si>
  <si>
    <t>Curso de Recursos Humanos</t>
  </si>
  <si>
    <t>Course of Human Resources</t>
  </si>
  <si>
    <t>RH Ágil</t>
  </si>
  <si>
    <t>RH Agile</t>
  </si>
  <si>
    <t>Rodrigo Giaffredo</t>
  </si>
  <si>
    <t>Boas práticas em Cibersegurança</t>
  </si>
  <si>
    <t>Good practices in Cybersecurity</t>
  </si>
  <si>
    <t>Vinicius Perallis</t>
  </si>
  <si>
    <t>Contratação de pessoas com deficiência e gestão inclusiva</t>
  </si>
  <si>
    <t>Hiring people with disabilities and inclusive management</t>
  </si>
  <si>
    <t>Santa Causa</t>
  </si>
  <si>
    <t>Fundamentos do Design Instrucional</t>
  </si>
  <si>
    <t>Fundamentals of Instructional Design</t>
  </si>
  <si>
    <t>Formação de Business Partner- RH estrategista</t>
  </si>
  <si>
    <t>Business training partner- HR strategist</t>
  </si>
  <si>
    <t>Ligia Molina</t>
  </si>
  <si>
    <r>
      <rPr>
        <b/>
        <sz val="12"/>
        <color rgb="FFFFFFFF"/>
        <rFont val="arial,sans,sans-serif"/>
      </rPr>
      <t xml:space="preserve">List of International Collection courses in </t>
    </r>
    <r>
      <rPr>
        <b/>
        <u/>
        <sz val="12"/>
        <color rgb="FFFFFFFF"/>
        <rFont val="arial,sans,sans-serif"/>
      </rPr>
      <t>Japanese</t>
    </r>
  </si>
  <si>
    <t>Total courses: 408</t>
  </si>
  <si>
    <t>電気回路理論入門</t>
  </si>
  <si>
    <t>Toru Tamaki</t>
  </si>
  <si>
    <t>ベイズ推定とグラフィカルモデル：コンピュータビジョン基礎1</t>
  </si>
  <si>
    <t>ボディランゲージの秘訣（日本語字幕版）</t>
  </si>
  <si>
    <t>Elearners Kiyoshi</t>
  </si>
  <si>
    <t>画像処理と3次元幾何：コンピュータビジョン基礎2</t>
  </si>
  <si>
    <t>１度会ったら忘れられない人になる！一流営業マンのコミュニケーション術（日本語字幕版）</t>
  </si>
  <si>
    <t>Udemy Japan Team</t>
  </si>
  <si>
    <t>元Appleエバンジェリスト、ガイ・カワサキの起業家塾（日本語字幕）</t>
  </si>
  <si>
    <t>もう交渉でひるまない！ 世界で通用する強気の英語面接術 （日本語字幕版）</t>
  </si>
  <si>
    <t>【企画が通らないNG資料を大改善】元外資系トップコンサルが教える資料作成・インパクト図解術</t>
  </si>
  <si>
    <t>Benesse Corporation</t>
  </si>
  <si>
    <t>「経営者たちのストーリー」① 星野リゾート代表 星野佳路</t>
  </si>
  <si>
    <t>作業時間を1／10にするエクセルHACK術！</t>
  </si>
  <si>
    <t>中本 達也</t>
  </si>
  <si>
    <t>「経営者たちのストーリー」② ネットイヤーグループ 石黒不二代</t>
  </si>
  <si>
    <t>「経営者たちのストーリー」③ 株式会社資生堂 魚谷雅彦</t>
  </si>
  <si>
    <t>現役女子アナ直伝！プレゼンテーション上達法</t>
  </si>
  <si>
    <t>樋田 かおり</t>
  </si>
  <si>
    <t>Excel関数マスター講座 全47関数の動画レッスン大百科を持ち歩こう。本を読んでも挫折したあなたのためのじっくり講座</t>
  </si>
  <si>
    <t>エクセル兄さん たてばやし淳</t>
  </si>
  <si>
    <t>【世界で18万人が受講】実践 Python データサイエンス</t>
  </si>
  <si>
    <t>Shingo Tsuji</t>
  </si>
  <si>
    <t>スキマ時間で！ビジュアル簿記「超」入門編～そうだったのか！複式簿記</t>
  </si>
  <si>
    <t>宮嶋 順也</t>
  </si>
  <si>
    <t>70以上のレッスンで、基礎からしっかり学べる！ HTML5完全マスターコース</t>
  </si>
  <si>
    <t>NEST online</t>
  </si>
  <si>
    <t>CSS / CSS3 マスターコース ｜70以上のレッスン、7時間以上のレッスンでCSSを基礎からマスター</t>
  </si>
  <si>
    <t>実践Webサイトコーディング講座 ｜ HTML5とCSS3を使って、カフェのサイトやWebメディアサイトを作ってみよう</t>
  </si>
  <si>
    <t>Excel中級者への150分【ピボット・VLOOKUP・条件付き書式・グラフ応用】</t>
  </si>
  <si>
    <t>【 5日でできる】はじめての Java プログラミング入門</t>
  </si>
  <si>
    <t>井上 博樹 (Hiroki Inoue)</t>
  </si>
  <si>
    <t>未経験からプロのWebデザイナーになる！ 400レッスン以上の完全マスターコース</t>
  </si>
  <si>
    <t>After Effects Class 初めてでも安心！現役クリエイターが教える動画コンテンツ制作術</t>
  </si>
  <si>
    <t>OMOKAGE TV</t>
  </si>
  <si>
    <t>【1日15分でTOEIC150点UP】カナダ留学TOEIC専門学校レッスン</t>
  </si>
  <si>
    <t>Nishiura Mieko</t>
  </si>
  <si>
    <t>【パソコン三種の神器】Word＋Excel＋PowerPointを10日間でイッキに速習 / エクセル兄さん講座</t>
  </si>
  <si>
    <t>【5日でできる】はじめての Linux 入門（LPIC Level1対応）</t>
  </si>
  <si>
    <t>【2019年度新試験範囲対応】スキマ時間でビジュアル簿記３級～予備校講師によるビジュアル動画レクチャー</t>
  </si>
  <si>
    <t>やさしいフランス語</t>
  </si>
  <si>
    <t>Coelien Plain</t>
  </si>
  <si>
    <t>UXデザイン講座 UXデザイン基礎入門</t>
  </si>
  <si>
    <t>萩本 晋</t>
  </si>
  <si>
    <t>【3日でできる】はじめての Ruby on Rails 4 入門（Rubyから学べる）</t>
  </si>
  <si>
    <t>MOS試験Excel対策オンライン講座【2013スペシャリスト】エクセル兄さんのスピードMOS対策・合格コース</t>
  </si>
  <si>
    <t>Mobile Design</t>
  </si>
  <si>
    <t>レスポンシブル・スマートフォンサイト制作講座 70以上の充実レッスンで作れるようになる！</t>
  </si>
  <si>
    <t>【プログラミング不要！】2日でできるWordPress超入門</t>
  </si>
  <si>
    <t>【世界で30万人が受講】フルスタック・Webエンジニア講座（2019最新版）</t>
  </si>
  <si>
    <t>PowerPoint 超入門 作ればわかる！〜2時間でプレゼン資料を作ってパワポ速習！企業研修で教える講師のカリキュラム</t>
  </si>
  <si>
    <t>【2日で撮れる】超簡単・図解でスッキリ!!一眼レフカメラ・写真入門</t>
  </si>
  <si>
    <t>Ryohei Watanabe</t>
  </si>
  <si>
    <t>【今日からはじめるプログラミング】コードの基本から必須スキルまで習得できる講座 / Swift5.x~対応</t>
  </si>
  <si>
    <t>新井 進鎬</t>
  </si>
  <si>
    <t>〜デザイナーの頭の中、大公開〜 企画を「１枚の紙」で、伝えきる。</t>
  </si>
  <si>
    <t>大森 剛</t>
  </si>
  <si>
    <t>【3日でできる】はじめてのLinuxサーバー構築入門（CentOS 7・PHP 7・Docker対応）</t>
  </si>
  <si>
    <t>米国MBA教授が教える：起業からIPOまでMBAのすべて</t>
  </si>
  <si>
    <t>【資格予備校講師が解説】スキマ時間で！ビジュアル簿記２級【商業簿記編】</t>
  </si>
  <si>
    <t>Pythonで機械学習：scikit-learnで学ぶ識別入門</t>
  </si>
  <si>
    <t>【1日完結】Premiere Proの使い方~動画クリエイターコース~</t>
  </si>
  <si>
    <t>Excelエキスパート認定への道【MOS資格エキスパート試験対策オンライン講座】エクセル兄さんのスピードMOS合格コース</t>
  </si>
  <si>
    <t>みんなのAI講座 ゼロからPythonで学ぶ人工知能と機械学習 【2020年最新版】</t>
  </si>
  <si>
    <t>我妻 幸長 Yukinaga Azuma</t>
  </si>
  <si>
    <t>アプリケーション開発者のための機械学習実践講座</t>
  </si>
  <si>
    <t>Takahiro Kubo</t>
  </si>
  <si>
    <t>【Python 3 x Django 2.0】作りながら覚えるDjango</t>
  </si>
  <si>
    <t>Dai Takahashi</t>
  </si>
  <si>
    <t>【4日で体験！】 TensorFlow, Keras, Python 3 で学ぶディープラーニング体験講座</t>
  </si>
  <si>
    <t>センス不要！伝わるプレゼン資料のデザインルール【入門編】</t>
  </si>
  <si>
    <t>PRESENTATION PLANNING 髙橋惠一郎</t>
  </si>
  <si>
    <t>Git：はじめてのGitとGitHub</t>
  </si>
  <si>
    <t>山浦 清透</t>
  </si>
  <si>
    <t>【ゼロからおさらい】統計学の基礎</t>
  </si>
  <si>
    <t>Yosuke Katada</t>
  </si>
  <si>
    <t>Adobe Character Animator: あなたの顔をカメラ認識、自分だけのアバターを生み出すビギナークラス</t>
  </si>
  <si>
    <t>現役シリコンバレーエンジニアが教えるPython 3 入門 + 応用 +アメリカのシリコンバレー流コードスタイル</t>
  </si>
  <si>
    <t>酒井 潤 （さかい じゅん）</t>
  </si>
  <si>
    <t>Git： もう怖くないGit！チーム開発で必要なGitを完全マスター</t>
  </si>
  <si>
    <t>【5日で学ぶ】情報セキュリティマネジメント入門（Python 3/Kali Linux）</t>
  </si>
  <si>
    <t>Ruby on Rails 5入門 -Rubyプログラミングの基礎から学べる-</t>
  </si>
  <si>
    <t>中村祐太 （Yuta Nakamura）</t>
  </si>
  <si>
    <t>プログラミング初心者でも安心、Python/Django入門講座</t>
  </si>
  <si>
    <t>滝澤 成人</t>
  </si>
  <si>
    <t>【1日で習得】技術者のためのPythonデータ分析</t>
  </si>
  <si>
    <t>Tetsuya T</t>
  </si>
  <si>
    <t>【NumPy・Python3で】ゼロから作るニューラルネットワーク</t>
  </si>
  <si>
    <t>Premiere Pro/AfterEffects cc 新機能エッセンシャルグラフィックスの活用方法</t>
  </si>
  <si>
    <t>【3日でできる】Django 入門 ( Python 3 でウェブアプリを作って AWS EC2 で公開！）</t>
  </si>
  <si>
    <t>初心者でも最速でシゴトに使えるC#！</t>
  </si>
  <si>
    <t>Suzuki Satoshi</t>
  </si>
  <si>
    <t>【 初心者から財務プロまで 】エクセルで学ぶビジネス・シミュレーション講座 マスターコース</t>
  </si>
  <si>
    <t>熊野 整</t>
  </si>
  <si>
    <t>Rではじめる統計基礎講座</t>
  </si>
  <si>
    <t>寺田 清昭</t>
  </si>
  <si>
    <t>みんなのiOS講座 ゼロからSwiftで学ぶiPhoneアプリ開発の基礎</t>
  </si>
  <si>
    <t>【情報セキュリティ】Ethical Hacking：ホワイトハッカー入門</t>
  </si>
  <si>
    <t>阿部ひろき blksmith</t>
  </si>
  <si>
    <t>【6日で速習】iOS 13アプリ開発入門決定版 20個のアプリを作って学ぼう（Xcode 11, Swift 5対応中）</t>
  </si>
  <si>
    <t>After Effects cc : はじめてのVisualEffects！プロが教えるVFX動画制作</t>
  </si>
  <si>
    <t>Node.js + Express で作る Webアプリケーション 実践講座</t>
  </si>
  <si>
    <t>津郷 晶也</t>
  </si>
  <si>
    <t>【TensorFlow・Kerasで学ぶ】時系列データ処理入門（RNN/LSTM, Word2Vec)</t>
  </si>
  <si>
    <t>会社の売り上げに貢献するSNS活用 基礎講座（企業ブログ活用の重点解説付き）</t>
  </si>
  <si>
    <t>遠藤 聡</t>
  </si>
  <si>
    <t>コンピュータビジョン数学基礎：数式とPythonで学ぶ最適化と最小二乗問題</t>
  </si>
  <si>
    <t>すぐに話せる中国語 発音編</t>
  </si>
  <si>
    <t>オンスク.JP Special</t>
  </si>
  <si>
    <t>【サイバーセキュリティ ハンズオン】ハッキング技術入門（不正侵入編）</t>
  </si>
  <si>
    <t>佐藤直 Naoshi Sato</t>
  </si>
  <si>
    <t>[HTML/CSS/JavaScript] フロントエンドエンジニアになりたい人の Webプログラミング入門</t>
  </si>
  <si>
    <t>たにぐち まこと（ともすた）</t>
  </si>
  <si>
    <t>すぐに話せる中国語 文法編</t>
  </si>
  <si>
    <t>はじめてのLinuxサーバー構築運用入門 - Linuxコマンドラインを基礎から学び、自分のウェブサーバまで構築できる</t>
  </si>
  <si>
    <t>就活生 社会人１年生 ビジネスマンの話し方・伝え方（論理的な話し方）講座 これでプレゼンも面接も怖くない！！</t>
  </si>
  <si>
    <t>Takayuki Inoue</t>
  </si>
  <si>
    <t>成約率の高いLP構築法 × 爆発的に売り上がるWeb広告運用術</t>
  </si>
  <si>
    <t>株式会社ウィニングフィールド 勝原 潤</t>
  </si>
  <si>
    <t>社会人1年生のための 効率的な正しい仕事の進め方講座</t>
  </si>
  <si>
    <t>データサイエンティストを目指す人のための『ゼロからの Tableau 入門』</t>
  </si>
  <si>
    <t>和廣 木田</t>
  </si>
  <si>
    <t>【キカガク流】人工知能・機械学習 脱ブラックボックス講座 - 初級編 -</t>
  </si>
  <si>
    <t>吉崎 亮介</t>
  </si>
  <si>
    <t>【 TensorFlow・Python3 で学ぶ】深層強化学習入門</t>
  </si>
  <si>
    <t>【2019年7月更新】誰でもかんたんに学べるAdobe XD入門講座｜実戦で使えるXDの基本機能を完全にマスターできる！</t>
  </si>
  <si>
    <t>濱野 将</t>
  </si>
  <si>
    <t>CSSを効率的に書く！フロントエンドエンジニアのための「Sass」講座 ~基礎から実践まで~</t>
  </si>
  <si>
    <t>宮崎 聡史</t>
  </si>
  <si>
    <t>正規表現講座</t>
  </si>
  <si>
    <t>Yu Hiraga</t>
  </si>
  <si>
    <t>【2021年最新版】はじめてのAngular入門 実践シングルページアプリケーション（SPA）開発</t>
  </si>
  <si>
    <t>五十川 洋平 Yohei Isokawa</t>
  </si>
  <si>
    <t>【Pythonで学ぶ】OpenCVでの画像処理入門</t>
  </si>
  <si>
    <t>初心者必見！Pythonでニューラルネット・深層学習を完全攻略</t>
  </si>
  <si>
    <t>亀田 健司</t>
  </si>
  <si>
    <t>【タイピングソフト付】仕事がガンガン速くなる！タッチタイピング[超入門]10日間マスター講座[touch typing]</t>
  </si>
  <si>
    <t>ゼロからはじめる Dockerによるアプリケーション実行環境構築</t>
  </si>
  <si>
    <t>Kazuya Kojima</t>
  </si>
  <si>
    <t>【入門者向け】ASP.NET MVCでWebアプリ開発のノウハウを学ぼう！</t>
  </si>
  <si>
    <t>木村 憲規</t>
  </si>
  <si>
    <t>Excel VBA[第1弾](超入門)エクセルが自動で仕事する！マクロの魔法 文系・非IT職もできるプログラミング</t>
  </si>
  <si>
    <t>ウェブ開発入門完全攻略コース - プログラミング をはじめて学び創れる人へ！未経験から現場で使える開発スキルを習得！</t>
  </si>
  <si>
    <t>VR動画編集入門：Premiere Pro/AfterEffectsの360VR編集指南書</t>
  </si>
  <si>
    <t>【IoT体験ガイド】JavaScriptとArduinoを使ってIoTハンズオンに挑戦しよう！</t>
  </si>
  <si>
    <t>Tanaka Seigo</t>
  </si>
  <si>
    <t>【これだけでOK！】プロが教える「売れる」チラシの作り方講座</t>
  </si>
  <si>
    <t>谷本 理恵子</t>
  </si>
  <si>
    <t>【画像判定AIアプリ開発・パート1】TensorFlow・Python・Flaskで作る画像判定AIアプリ開発入門</t>
  </si>
  <si>
    <t>一週間で身につくC/C++言語</t>
  </si>
  <si>
    <t>【初心者から上級者まで】１日で学べるエクセルの教科書 マスターコース</t>
  </si>
  <si>
    <t>フルスタックエンジニアが教える 即戦力Railsエンジニア養成講座</t>
  </si>
  <si>
    <t>Excel VBA[第2弾](脱・入門編)請求書を1クリックで出力するマクロを作成！文系・非IT職もできるプログラミング</t>
  </si>
  <si>
    <t>【はむ式】フロントエンドエンジニアのための React ・ Redux アプリケーション開発入門</t>
  </si>
  <si>
    <t>はむさん リーマンショックのリストラから這い上がったウェブ系エンジニア</t>
  </si>
  <si>
    <t>【PythonとStanで学ぶ】仕組みが分かるベイズ統計学入門</t>
  </si>
  <si>
    <t>【キカガク流】人工知能・機械学習 脱ブラックボックス講座 - 中級編 -</t>
  </si>
  <si>
    <t>はじめてのSQL ・データ分析入門 -データベースのデータをビジネスパーソンが現場で活用するためのSQL初心者向コース</t>
  </si>
  <si>
    <t>【資格予備校講師が解説】スキマ時間で！ビジュアル簿記２級【工業簿記編】</t>
  </si>
  <si>
    <t>はじめてのPython 少しづつ丁寧に学ぶプログラミング言語Python3のエッセンス</t>
  </si>
  <si>
    <t>【修正・内容改変のため一般非公開中】HTML・CSS・JavaScript入門・はじめてのHTMLからマスターしていこう</t>
  </si>
  <si>
    <t>Tatsuya Kosuge</t>
  </si>
  <si>
    <t>子供を熱くさせるプログラミング教室「Ritz」の入門７日間講座 親子でスクラッチ(Scratch)で本格ゲームを作ろう！</t>
  </si>
  <si>
    <t>すぐに話せる中国語 コンプリート版（発音編​+文法編+漢字編）</t>
  </si>
  <si>
    <t>React + Redux を使用したモダンフロントエンド開発</t>
  </si>
  <si>
    <t>Nakanishi Yusuke</t>
  </si>
  <si>
    <t>【更新：2020/06/08】【SEO対策 入門講座】Google検索でWebサイトを上位表示させるための基礎コース</t>
  </si>
  <si>
    <t>【TensorFlow・Python 3】GANによる画像生成AI自作入門</t>
  </si>
  <si>
    <t>英語の発音レベルアップ：カタカナ英語をやめて、ネイティブのような発音に！</t>
  </si>
  <si>
    <t>Phil Woodland</t>
  </si>
  <si>
    <t>【Java サーブレット( Servlet )決定版】ゼロから環境構築～設計モデルまで、動画で楽々学ぶ</t>
  </si>
  <si>
    <t>サーチマン 佐藤</t>
  </si>
  <si>
    <t>PHP+MySQL（MariaDB） Webサーバーサイドプログラミング入門</t>
  </si>
  <si>
    <t>【世界で3万人が受講】JavaScriptエンジニアのためのES6完全ガイド</t>
  </si>
  <si>
    <t>Ken Fukuyama</t>
  </si>
  <si>
    <t>業界最先端の動画制作テクニックを制覇！Adobe Premiere Pro 完全版</t>
  </si>
  <si>
    <t>メディアリテラシー マスター講座</t>
  </si>
  <si>
    <t>定平 誠</t>
  </si>
  <si>
    <t>医師が教えるR言語での医療データ分析入門</t>
  </si>
  <si>
    <t>Norimitsu Nishida</t>
  </si>
  <si>
    <t>もう情報セキュリティ対策で悩まない！業務に直結する情報セキュリティの考え方・知識・常識・対策方法を習得しよう</t>
  </si>
  <si>
    <t>中尾 真二</t>
  </si>
  <si>
    <t>これからの時代に必須！基礎から学ぶ「情報セキュリティ入門」</t>
  </si>
  <si>
    <t>瀬戸 美月</t>
  </si>
  <si>
    <t>パフォーマンス改善のためのGoogle アナリティクス活用法</t>
  </si>
  <si>
    <t>プレゼン本に書いてないPowerPoint資料作成術「あのグラフ…実際パワポでどうやって作るの？」 8ステップ速習コース</t>
  </si>
  <si>
    <t>時間管理マスターコース：生産性を上げると、仕事も人生も豊かになる！</t>
  </si>
  <si>
    <t>正木 美奈子</t>
  </si>
  <si>
    <t>すべてのリーダーがチームを率いるために必要な対話スキルを学ぶ最先端のプログラム『DELICオンライン』</t>
  </si>
  <si>
    <t>Kentaro Hayashi</t>
  </si>
  <si>
    <t>【初心者向け】カメラを購入したその日から始める写真撮影：写真家・秦達夫の写真講座</t>
  </si>
  <si>
    <t>秦 達夫</t>
  </si>
  <si>
    <t>3分で一発OK！社内プレゼンの資料作成術</t>
  </si>
  <si>
    <t>前田 鎌利</t>
  </si>
  <si>
    <t>【エクセル・会計知識不要！】いきなりビジネスシュミレーション！ 会計／ファイナンスが本職の方は受講しないで下さい</t>
  </si>
  <si>
    <t>マスカワ シゲル</t>
  </si>
  <si>
    <t>アナログ回路設計への第一歩</t>
  </si>
  <si>
    <t>Satoshi Yoshizaki</t>
  </si>
  <si>
    <t>Vue JS入門決定版！jQuery を使わない Web 開発 - 導入からアプリケーション開発まで体系的に動画で学ぶ</t>
  </si>
  <si>
    <t>美味しく撮れる料理写真！自然光で撮影する基礎テクニック</t>
  </si>
  <si>
    <t>佐藤 朗</t>
  </si>
  <si>
    <t>【4日間でチャレンジ】Python 3・ PyTorch によるディープラーニング・AIアプリ開発入門</t>
  </si>
  <si>
    <t>【超初心者向け】Blenderでキャラクターをモデリングしてアンリアルエンジンで動かす講座【ハンズオン】</t>
  </si>
  <si>
    <t>なん Shin Sakai</t>
  </si>
  <si>
    <t>【はむ式】フロントエンドエンジニアのためのGraphQL with React 入門</t>
  </si>
  <si>
    <t>【キカガク流】プログラミング力向上のためのPythonで学ぶアルゴリズム論（前編）</t>
  </si>
  <si>
    <t>【 財務プロを極める 】エクセルで学ぶ財務三表モデル × 財務戦略シミュレーション</t>
  </si>
  <si>
    <t>今すぐ使えるビジネス英語【メールの書き方】</t>
  </si>
  <si>
    <t>Yuko Sakai (酒井 祐子)</t>
  </si>
  <si>
    <t>感情を動かす！社外プレゼンの資料作成術</t>
  </si>
  <si>
    <t>初心者向け：ブロックチェーンの基礎知識、暗号通貨の仕組み、スマートコントラクトについて、ビジネスへの応用可能性</t>
  </si>
  <si>
    <t>Masayuki Hisada</t>
  </si>
  <si>
    <t>現役女子アナ直伝！コミュニケーション研修</t>
  </si>
  <si>
    <t>挨拶から店舗予約まで！手を動かして学ぶAIチャットボット開発入門</t>
  </si>
  <si>
    <t>箕輪 旭</t>
  </si>
  <si>
    <t>【ARKit2.0対応】6つのチャレンジでARKitを徹底攻略</t>
  </si>
  <si>
    <t>KBOY ARエンジニア</t>
  </si>
  <si>
    <t>プロダクトマネジメント入門講座：作るなら最初から世界を目指せ！シリコンバレー流Product Management</t>
  </si>
  <si>
    <t>曽根原 春樹</t>
  </si>
  <si>
    <t>線形代数の理論とPythonによる実践</t>
  </si>
  <si>
    <t>大内 雅晴</t>
  </si>
  <si>
    <t>AIのための数学講座：少しづつ丁寧に学ぶ人工知能向けの線形代数/確率・統計/微分</t>
  </si>
  <si>
    <t>Raspberry Pi とTensorFlow ではじめるAI・IoTアプリ開発入門</t>
  </si>
  <si>
    <t>【収益分析に強くなる】エクセルで学ぶマーケティング収益分析＆シミュレーション</t>
  </si>
  <si>
    <t>はじめてのRuby on Rails入門-RubyとRailsを基礎から学びWebアプリケーションをネットに公開しよう</t>
  </si>
  <si>
    <t>【まだ間に合う！】AI開発・機械学習を理解するための数学講座</t>
  </si>
  <si>
    <t>Amazon Web Service マスターコース VPC編</t>
  </si>
  <si>
    <t>日本人のためのアメリカ英語発音矯正コース Chapter 1</t>
  </si>
  <si>
    <t>Aiko Hemingway</t>
  </si>
  <si>
    <t>一週間で身につくJava言語</t>
  </si>
  <si>
    <t>アドバンスド 箇条書き（ブレットポイント）テクニック ―ロジカルシンキングを取り入れた【要約】の書き方―</t>
  </si>
  <si>
    <t>医師が教えるR言語での医療データ分析入門 -発展編(集計)： 集計表と公的なデータから レポートを作ってみよう！</t>
  </si>
  <si>
    <t>日本人のためのアメリカ英語発音矯正コース Chapter 2</t>
  </si>
  <si>
    <t>【情報セキュリティ基礎】ハッカーの視点から見るセキュリティ対策の必要性</t>
  </si>
  <si>
    <t>Chapter 3 日本人のためのアメリカ英語の発音矯正コース</t>
  </si>
  <si>
    <t>経験ゼロからC#プログラミングがある程度出来るようになる方法【Windows Forms編】</t>
  </si>
  <si>
    <t>ピーコック アンダーソン</t>
  </si>
  <si>
    <t>【ゼロからスタート】Oracleで始める SQL入門トレーニング</t>
  </si>
  <si>
    <t>Masafumi Takanashi</t>
  </si>
  <si>
    <t>現役シリコンバレーエンジニアが教えるGo入門 + 応用でビットコインのシストレFintechアプリの開発</t>
  </si>
  <si>
    <t>人工知能（AI）×IoT×ブロックチェーン時代のテクノロジー／次世代ビジネスモデルノウハウの全ての基礎知識を獲得する講座</t>
  </si>
  <si>
    <t>Edutech Partners Shibata</t>
  </si>
  <si>
    <t>Premiere Proユーザー必見！Davinci Resolve 15でプロ並みの動画を作ろう！超入門編</t>
  </si>
  <si>
    <t>Amazon Web Service マスターコース EC2編</t>
  </si>
  <si>
    <t>Pythonによる教育データ分析入門：Pythonの基礎から回帰分析・項目分析まで</t>
  </si>
  <si>
    <t>近藤 悠介</t>
  </si>
  <si>
    <t>【超入門】初心者からデータ入稿まで Adobe Illustrator でキャラクターを描いてオリジナルグッズを作ろう</t>
  </si>
  <si>
    <t>渡部 学</t>
  </si>
  <si>
    <t>Git入門： ノンプログラマーのための Git</t>
  </si>
  <si>
    <t>Python+FlaskでのWebアプリケーション開発講座！！～0からFlaskをマスターしてSNSを作成する～</t>
  </si>
  <si>
    <t>株式会社 スタートコード</t>
  </si>
  <si>
    <t>Excel VBA[第3弾](実用マクロ入門編)受注データを5秒で入力できるユーザーフォーム作成 VBAプログラミング</t>
  </si>
  <si>
    <t>【Kaggleで学ぼう】Python と Keras で学ぶディープラーニング開発入門</t>
  </si>
  <si>
    <t>PythonによるWebスクレイピング〜入門編〜【業務効率化への第一歩】</t>
  </si>
  <si>
    <t>今西 航平</t>
  </si>
  <si>
    <t>現役クリエイターが教える！After Effects モーショングラフィックス「超」入門</t>
  </si>
  <si>
    <t>【4時間で分かる】エクセルで学ぶ企業価値評価（ファイナンス）基礎コース</t>
  </si>
  <si>
    <t>ディープラーニング : Pythonでゼロから構築し学ぶ人工知能（AI）と深層学習の原理</t>
  </si>
  <si>
    <t>【iroha】パソコンが苦手な超初心者さん向け WordPressブログの作り方</t>
  </si>
  <si>
    <t>あやとり ワークス</t>
  </si>
  <si>
    <t>Excelショートカット忍法帖 90以上のエクセル時短技を、手を動かして覚える150分</t>
  </si>
  <si>
    <t>【超入門】未経験者が3Dプリントまで Fusion 360でキャラクターをモデリングして3Dプリントをしよう</t>
  </si>
  <si>
    <t>～始めから効率よく学ぶ～ 基本情報技術者試験 最速 合格講座</t>
  </si>
  <si>
    <t>RYOTA FUJISHIMA</t>
  </si>
  <si>
    <t>【はむ式】モジュールバンドラー webpack を1日で習得！フルスクラッチでインストールからカスタマイズまでを理解する</t>
  </si>
  <si>
    <t>【初心者向けWeb集客の始め方講座】WordPressとメルマガを使ったDRM・リストマーケティングの仕組み化完成コース</t>
  </si>
  <si>
    <t>松原 潤一</t>
  </si>
  <si>
    <t>Excel上級者へのVLOOKUPマスター(INDEX+MATCH関数入り)手を動かして学ぶ忍者シリーズ「疾風の書」</t>
  </si>
  <si>
    <t>ブロックチェーンの仕組みをひとつひとつ図解 - 仕組みを紐解きながら最新状況・今後の活用方法まで体系的に</t>
  </si>
  <si>
    <t>自然言語処理とチャットボット: AIによる文章生成と会話エンジン開発</t>
  </si>
  <si>
    <t>作りながら覚えるMicrosoft Azure入門講座（IaaS編）</t>
  </si>
  <si>
    <t>Makoto Okada</t>
  </si>
  <si>
    <t>Tableauを使いこなしたい分析者のための『ゼロからの Tableau Prep 入門』</t>
  </si>
  <si>
    <t>Node.js速習講座 Part2</t>
  </si>
  <si>
    <t>【夢月流】Pythonスクレイピング入門2～Web APIを使ってスクレイピングプログラムを素早く作るコツを教えます～</t>
  </si>
  <si>
    <t>速水 夢月</t>
  </si>
  <si>
    <t>現役エンジニアが教える、手を動かして学ぶGoogle Cloud Platform(GCP) 入門</t>
  </si>
  <si>
    <t>kohei kondo</t>
  </si>
  <si>
    <t>Excel上級者へのピボットテーブル ～180分で集計分析、グラフ、ダッシュボードまで手を動かして学ぶ忍者マスター「林」</t>
  </si>
  <si>
    <t>kintoneで学ぶ、Webデータベース管理入門</t>
  </si>
  <si>
    <t>これだけでOK！ AWS 認定ソリューションアーキテクト – アソシエイト試験突破講座（SAA-C02試験対応版）</t>
  </si>
  <si>
    <t>Edutech Global , inc.</t>
  </si>
  <si>
    <t>C#初心者が最初に身に着けるべき30の文法</t>
  </si>
  <si>
    <t>Nuxt JS入門決定版！Vue.jsのフレームワークNuxt JSの基本からFirebaseと連携したSPAの開発まで</t>
  </si>
  <si>
    <t>【 速く、シンプルに伝える 】パワーポイントで学ぶロジカル・プレゼンテーション</t>
  </si>
  <si>
    <t>Excel VBA[第4弾]大量ブック・大量シート操作編！50個のExcelブックを一気にデータ収集するマクロ3時間講義</t>
  </si>
  <si>
    <t>現役シリコンバレーエンジニアが教える未経験者のためのPythonドローンプログラミング</t>
  </si>
  <si>
    <t>【YOLO v3で実践】ディープラーニングによる物体検出入門</t>
  </si>
  <si>
    <t>Vue.js + Firebaseで作るシングルページアプリケーション</t>
  </si>
  <si>
    <t>3時間で学ぶ SQL ・データベース 超入門【丁寧な解説+演習問題で SQL データ抽出の基本が身につく】標準 SQL</t>
  </si>
  <si>
    <t>Shotaro Hiramatsu</t>
  </si>
  <si>
    <t>はじめてのテーブル設計・データベース設計【わかりやすい解説 + 身近なテーマでレッスン】</t>
  </si>
  <si>
    <t>１時間でサクッと学ぶ！会計職ではない人のための「現場で役立つ」会計知識</t>
  </si>
  <si>
    <t>Excel VBA[第0弾]ゲームでわかる、マクロVBAプログラミング超入門～作りながら「楽しい！」を実感する2時間講義</t>
  </si>
  <si>
    <t>先生・学生・新社会人の方へ！スクラッチで学ぶAIに負けない人材になるためのプログラミング超入門</t>
  </si>
  <si>
    <t>EXCELで学ぶ数字思考力とマーケティング分析【入門編】分析のための考え方と手法を学び、実践的な分析ができるようになる！</t>
  </si>
  <si>
    <t>植山 周志</t>
  </si>
  <si>
    <t>Spring 入門 ～ SpringBoot 2 を使ってお問い合わせアプリとToDoアプリを作る ～</t>
  </si>
  <si>
    <t>Trainocate Lecturers</t>
  </si>
  <si>
    <t>【Angular11とNode.jsで始める！】JavaScript系 WEBアプリケーション開発コンプリートガイド①</t>
  </si>
  <si>
    <t>アツシ先生 Atsushi Hamada</t>
  </si>
  <si>
    <t>【初心者向け】2時間でわかる！確実に商談を前進させる営業トーク50選</t>
  </si>
  <si>
    <t>中谷 健太</t>
  </si>
  <si>
    <t>現役シリコンバレーエンジニアが教えるGo入門 + ドローンプログラミング</t>
  </si>
  <si>
    <t>【徹底的に解説！】Djangoの基礎をマスターして、3つのアプリを作ろう！（Django2版 / 3版を同時公開中です）</t>
  </si>
  <si>
    <t>大橋 亮太</t>
  </si>
  <si>
    <t>【ビジネスパーソン必見】機械学習の基礎・単回帰分析を中学数学で論理的に学び、重回帰分析をPythonで実行</t>
  </si>
  <si>
    <t>はじめてのブロックチェーン</t>
  </si>
  <si>
    <t>C#を勉強する順番</t>
  </si>
  <si>
    <t>はじめての AI</t>
  </si>
  <si>
    <t>Grow with Google (グーグル合同会社)</t>
  </si>
  <si>
    <t>はじめてのデジタルマーケティング</t>
  </si>
  <si>
    <t>はじめての働き方改革</t>
  </si>
  <si>
    <t>PythonによるWebスクレイピング 〜Webアプリケーション編〜</t>
  </si>
  <si>
    <t>C#でテスト駆動開発【TDD】をする方法</t>
  </si>
  <si>
    <t>C#で非同期プログラミングをする方法</t>
  </si>
  <si>
    <t>脳科学と人工知能: シンギュラリティ前夜における、人間と機械の接点</t>
  </si>
  <si>
    <t>一週間で身につくC#言語</t>
  </si>
  <si>
    <t>Microsoft Power BI - Power BI Desktop入門講座</t>
  </si>
  <si>
    <t>【SAA-C02版】AWS 認定ソリューションアーキテクト アソシエイト模擬試験問題集（6回分390問）</t>
  </si>
  <si>
    <t>【はむ式】React Hooks 入門 - HooksとReduxを組み合わせて最新のフロントエンド状態管理手法を習得</t>
  </si>
  <si>
    <t>C#でドメイン駆動開発パート１【C#でドメイン駆動開発とテスト駆動開発を使って保守性の高いプログラミングをする方法】</t>
  </si>
  <si>
    <t>Docker + Kubernetes で構築する Webアプリケーション 実践講座</t>
  </si>
  <si>
    <t>マクロ不要のExcel自動化術 ～上級者への数式・関数「烈火の書」【日付、条件付書式、入力規則、データ集計、文字列操作】</t>
  </si>
  <si>
    <t>React Native入門：ニュースアプリを作りながら覚えよう/Hooks対応 2020年版</t>
  </si>
  <si>
    <t>Takahiko Wada</t>
  </si>
  <si>
    <t>【グローバル・ビジネスケースから学ぶ】マーケティング戦略入門（日本語字幕版）</t>
  </si>
  <si>
    <t>最新Photoshop CC 23時間の動画と演習でPhotoshopの全てを完全マスター 初心者がプロを目指すコース</t>
  </si>
  <si>
    <t>村守 康</t>
  </si>
  <si>
    <t>【続】Microsoft Power BI Desktop - 入門講座 ～Power Query Editor編～</t>
  </si>
  <si>
    <t>【5分で相手が変わる】メンバーを育てるコーチング入門～リーダー支援10年以上の実績を持つ講師が事例をもとに解説～</t>
  </si>
  <si>
    <t>川本 裕二</t>
  </si>
  <si>
    <t>AWS：ゼロから実践するAmazon Web Services。手を動かしながらインフラの基礎を習得</t>
  </si>
  <si>
    <t>【画像判定AIアプリ開発・パート2】Django・TensorFlow・転移学習による高精度AI アプリ開発</t>
  </si>
  <si>
    <t>C#でオブジェクト指向をする方法</t>
  </si>
  <si>
    <t>Excel VBA[第5弾]ファイル出力マクロ編！ブックをシート別に分割して自動出力。CSVやPDF出力、印刷も自動化！</t>
  </si>
  <si>
    <t>アジャイル・プロジェクトマネジメント短期集中講座</t>
  </si>
  <si>
    <t>Mauricio Rubio - Agile Guru &amp; Founder of AgileKB | AgileLee &amp; Ureducation</t>
  </si>
  <si>
    <t>【アジャイル開発】スクラム基礎講座</t>
  </si>
  <si>
    <t>BigQuery で学ぶ非エンジニアのための SQL データ分析入門</t>
  </si>
  <si>
    <t>Linuxコマンド、シェルスクリプト、データベース、ネットワーク 、セキュリティを覚える講座</t>
  </si>
  <si>
    <t>TOEIC L&amp;Rテスト・リスニング絶対攻略！3ヶ月で英語耳を作るタニケイ式シャドーイング</t>
  </si>
  <si>
    <t>谷口 恵子（タニケイ）</t>
  </si>
  <si>
    <t>【新規事業からIPOまで】エクセルで学ぶスタートアップ戦略＆ファイナンス</t>
  </si>
  <si>
    <t>はじめてのPython3。経験0からGUIアプリケーションを作れるまでの基礎力を！</t>
  </si>
  <si>
    <t>Tatsuya Nakamori</t>
  </si>
  <si>
    <t>Adobe Premiere Pro プレミアプロで動画編集の基本マスターコース</t>
  </si>
  <si>
    <t>動画人 ターナー</t>
  </si>
  <si>
    <t>超Vue.js 2 完全パック (Vue Router, Vuex含む)</t>
  </si>
  <si>
    <t>よしぴー (Yoshipi)</t>
  </si>
  <si>
    <t>【Javaプログラマー必須】最強のフレームワーク、Spring。環境構築、Thymeleaf画面作成、依存性の注入まで。</t>
  </si>
  <si>
    <t>【続】Microsoft Power BI Desktop - 入門講座 ～Data Visualization編～</t>
  </si>
  <si>
    <t>現役シリコンバレーエンジニアが教えるPythonで始めるスクラッチからのブロックチェーン開発入門</t>
  </si>
  <si>
    <t>プロダクトマネジメント実践講座: シリコンバレーの現役プロダクトマネージャーが伝授する、世界の最前線で使われるKPI</t>
  </si>
  <si>
    <t>Raspberry PiとPythonでIoTはじめの一歩～IoTキッチンガーデン講座～</t>
  </si>
  <si>
    <t>Kensuke Sasaki</t>
  </si>
  <si>
    <t>【 キーワード速習！ 】実践MBAアカウンティング＆ファイナンス講座マスターコース</t>
  </si>
  <si>
    <t>【ビジネスデータ集計を極める】エクセル関数マスターコース</t>
  </si>
  <si>
    <t>増補改訂版『Bootstrap4入門』〜Webデザインに対して苦手意識を持つエンジニアのための〜</t>
  </si>
  <si>
    <t>小野宏司 (Koji ONO)</t>
  </si>
  <si>
    <t>C#のコーディングルール：スタイルコップアナライザーを使ってチーム全員が同じコードを書く方法</t>
  </si>
  <si>
    <t>AWS：はじめてのAmazon Web Services</t>
  </si>
  <si>
    <t>【ファンの心を掴む】実例から学ぶ最先端のソーシャル・マーケティング戦略</t>
  </si>
  <si>
    <t>大宮 千絵</t>
  </si>
  <si>
    <t>【受講生ガイド】UFBの始め方</t>
  </si>
  <si>
    <t>Udemy for Business 日本向けチュートリアルチーム</t>
  </si>
  <si>
    <t>【管理者ガイド】UFBの始め方＆【アーカイブ】UFB活用オンラインセミナー</t>
  </si>
  <si>
    <t>【徹底的に解説！】人工知能・機械学習エンジニア養成講座（初級編～統計学から数字認識まで～）</t>
  </si>
  <si>
    <t>Microsoft Excel - Power Pivot, Power Query, DAX 入門講座</t>
  </si>
  <si>
    <t>最速で学ぶ - AWS認定ソリューションアーキテクトアソシエイト 入門完全攻略コース</t>
  </si>
  <si>
    <t>【数字を味方につける：初級編】ビジネスの現場で使えるデータ分析</t>
  </si>
  <si>
    <t>齋藤 健太</t>
  </si>
  <si>
    <t>【続】Microsoft Power BI Desktop - 入門講座 ～DAX-CALCULATE特訓編～</t>
  </si>
  <si>
    <t>最新版: ITパスポート試験 + 情報セキュリティマネジメント試験 講義＆過去問解説</t>
  </si>
  <si>
    <t>この問題だけで合格可能！AWS 認定クラウドプラクティショナー 模擬試験問題集（7回分455問）</t>
  </si>
  <si>
    <t>【初級エンジニア必須スキル Linux コマンド】複雑な環境構築を AWS に任せてLinuxの基本操作を手軽にマスター</t>
  </si>
  <si>
    <t>【これだけでOK！】あらゆるビジネスに役立つ！はじめての実践マーケティング講座</t>
  </si>
  <si>
    <t>手を動かして学ぶAI開発入門！人工知能の意味からモデル構築・RPA連携・サーバレス開発まで</t>
  </si>
  <si>
    <t>【続】Microsoft Power BI Desktop - 入門講座 ～Data Model編～</t>
  </si>
  <si>
    <t>組織を動かす！今日からはじめるデータ分析の『超』基本</t>
  </si>
  <si>
    <t>Takashi Nakano</t>
  </si>
  <si>
    <t>【2020年最新版】Adobe XD 手を動かして覚えるUI/UXプロトタイピング。初級から高度テクニックまで全てを学ぶ</t>
  </si>
  <si>
    <t>AIパーフェクトマスター講座 -Google Colaboratoryで隅々まで学ぶ実用的な人工知能/機械学習-</t>
  </si>
  <si>
    <t>Excel VBA エキスパート認定への道 ～マクロ初心者から資格試験レベルへ ＆7つの自動化 マクロ を作る15時間</t>
  </si>
  <si>
    <t>【はむ式】ハンズオンで学ぶTypeScript - JavaScript エンジニアのためのTypeScript徹底入門</t>
  </si>
  <si>
    <t>ITトレンド丸わかり ～デジタルトランスフォーメーション時代の必須知識～</t>
  </si>
  <si>
    <t>AWS 認定ソリューションアーキテクト プロフェッショナル模擬試験問題集（全5回分375問）</t>
  </si>
  <si>
    <t>AWS 認定デベロッパー アソシエイト模擬試験問題集（5回分325問）</t>
  </si>
  <si>
    <t>現役シリコンバレーエンジニアが教えるGoで始めるスクラッチからのブロックチェーン開発入門</t>
  </si>
  <si>
    <t>【コピペで簡単、すぐに動く！】ゼロから始める「Python」世界最速入門コース</t>
  </si>
  <si>
    <t>Katsunori Yoshinaka</t>
  </si>
  <si>
    <t>【超実践】すぐに使えるデザイン思考！〜基本をおさえ、日常にイノベーションを起こす38個の習慣〜</t>
  </si>
  <si>
    <t>拓 渡辺</t>
  </si>
  <si>
    <t>【Pythonで学ぶ 】CUDA プログラミング入門</t>
  </si>
  <si>
    <t>【データサイエンス×ビジネスコミュニケーション】現役データサイエンティストが教える「伝えて動かすデータ分析」</t>
  </si>
  <si>
    <t>Tomohiro Furusawa （株式会社TenGen）</t>
  </si>
  <si>
    <t>JavaScriptの動作を論理的に解説！JavaScript中級者への道</t>
  </si>
  <si>
    <t>【Code Mafia】 WEBプログラミング学習</t>
  </si>
  <si>
    <t>Microsoft Excel Pivot Table 0 to Hero エクセル ピボット テーブル入門から実戦まで</t>
  </si>
  <si>
    <t>基礎だけ学ぶ PHPプログラミング講座</t>
  </si>
  <si>
    <t>村山 雅彦</t>
  </si>
  <si>
    <t>【数字を味方につける：中級編】ビジネスの現場で使えるデータ分析</t>
  </si>
  <si>
    <t>Linuxコマンドから始めるDocker ～ BE A FIRST PENGUIN AND GROW AS WHALE</t>
  </si>
  <si>
    <t>SQL入門 - MySQLで学ぶデータベース</t>
  </si>
  <si>
    <t>ビジネスパーソンに贈る業務効率化大全 〜Google Apps Scriptによる業務の自動化〜</t>
  </si>
  <si>
    <t>手を動かして学ぶプロダクトデザイン入門！デザイン思考・プロトタイピング・アジャイルの考え方と実践</t>
  </si>
  <si>
    <t>現役エンジニアのためのWebpack環境構築入門 with Babel｜Sass｜Eslint</t>
  </si>
  <si>
    <t>REST WebAPI サービス 設計</t>
  </si>
  <si>
    <t>最新版: 基本情報技術者試験+応用情報技術者試験+Python+SQL 初心者からプロのエンジニアになる講座</t>
  </si>
  <si>
    <t>もう怖くないLinuxコマンド。手を動かしながらLinuxコマンドラインを5日間で身に付けよう</t>
  </si>
  <si>
    <t>動画でわかる！ITパスポート＋基本情報技術者試験合格への道のり【データベース編】</t>
  </si>
  <si>
    <t>みやけ たけし</t>
  </si>
  <si>
    <t>コーチングでメンバーが動き出す！リーダーシップ実践講座</t>
  </si>
  <si>
    <t>森 泰造</t>
  </si>
  <si>
    <t>最短２週間で変化が出る！初心者向けのWEBサイト分析・改善【実践講座】</t>
  </si>
  <si>
    <t>高木優 （ゆうさん。）</t>
  </si>
  <si>
    <t>【自分が変わる！人生が変わる！】人との交渉がうまくなる２０のテクニック講座</t>
  </si>
  <si>
    <t>石井 通明</t>
  </si>
  <si>
    <t>【売上分析で売上を最大化】ゼロから始めるGoogleスプレッドシートマスターコース｜最先端技術で売上最大化＆無駄の最小化</t>
  </si>
  <si>
    <t>PHPからLaravelまで サーバーサイドをとことんやってみよう【初心者から脱初心者へ】【わかりやすさ最重視】</t>
  </si>
  <si>
    <t>世界のアオキ (Akihiro Aoki)</t>
  </si>
  <si>
    <t>【数学/プログラミング不要】ディープラーニングの実装体験でビジネスのためのAI活用を理解する</t>
  </si>
  <si>
    <t>株式会社 Matrixflow</t>
  </si>
  <si>
    <t>最短・最速で学ぶ React Hooks 完全ガイド！基礎〜応用編 最新のReact開発+ステート管理をマスターしよう!</t>
  </si>
  <si>
    <t>@Daiz Academy</t>
  </si>
  <si>
    <t>【JavaScript＆CSS】ガチで学びたい人のためのWEB開発徹底実践（フロントエンド編）</t>
  </si>
  <si>
    <t>新任管理職のための「マネージャー・ファーストキット」</t>
  </si>
  <si>
    <t>【 生産性を高める 】Windows / エクセル / パワーポイント / ワードのショートカット講座</t>
  </si>
  <si>
    <t>続【Angular11とNode.jsで始める！】JavaScript系WEBアプリケーション開発コンプリートガイド②</t>
  </si>
  <si>
    <t>｢PMP®認定試験｣で一発合格を目指す！ 効率的な試験対策のための戦略コース (2020)</t>
  </si>
  <si>
    <t>CLUTCH Management</t>
  </si>
  <si>
    <t>はじめてのソフトウェアテスト技法【全てのエンジニアが知るべき最重要テスト技法を、丁寧な解説と演習問題で身につけよう】</t>
  </si>
  <si>
    <t>【実践ファイナンス】エクセルで学ぶM&amp;Aシミュレーション基礎コース</t>
  </si>
  <si>
    <t>【世界で7万人が受講】Understanding TypeScript - 2020年最新版</t>
  </si>
  <si>
    <t>Yota Hamada</t>
  </si>
  <si>
    <t>【世界で34万人が受講】データサイエンティストを目指すあなたへ〜データサイエンス25時間ブートキャンプ〜</t>
  </si>
  <si>
    <t>【続】Microsoft Power BI Desktop - 入門講座 ～予算実績比較編～</t>
  </si>
  <si>
    <t>チームの生産性が2倍！！最高品質の会議術〜生産性の向上は会議で9割決まる〜</t>
  </si>
  <si>
    <t>手を動かして学ぶITプロジェクトの資料作成！システム開発のドキュメンテーション技術と成果物テンプレート</t>
  </si>
  <si>
    <t>【はじめての統計学】 エクセルで学ぶマーケティング統計分析＆戦略</t>
  </si>
  <si>
    <t>はじめての動画活用（ビジネス編）</t>
  </si>
  <si>
    <t>Linuxサーバー構築入門（LinuCレベル１ ver. 10対応）</t>
  </si>
  <si>
    <t>超TypeScript入門 完全パック(2021)</t>
  </si>
  <si>
    <t>PyTorch Boot Camp : Python AI PyTorchで機械学習とデータ分析完全攻略</t>
  </si>
  <si>
    <t>Kazu.T (Udemy Instructor)</t>
  </si>
  <si>
    <t>【JS】初級者から中級者になるためのJavaScriptメカニズム</t>
  </si>
  <si>
    <t>最短・最速で学ぶGraphQL実践入門 新たなAPI規格をマスターしよう！ サーバーサイドCRUD編 (Node.js)</t>
  </si>
  <si>
    <t>家族で実践 安心・安全なインターネット利用のためにできること</t>
  </si>
  <si>
    <t>個人で実践 安心・安全なインターネット利用のためにできること</t>
  </si>
  <si>
    <t>デザイン思考の先【アートシンキング（アート思考）入門講座】先行き不透明なVUCA時代をイノベーション創出で乗り越えろ！</t>
  </si>
  <si>
    <t>尾和 恵美加</t>
  </si>
  <si>
    <t>【Facebook広告を使ったリスト獲得入門講座】Facebook広告の得意を最大限に集客に活かす初心者向け実践コース</t>
  </si>
  <si>
    <t>川口 美代</t>
  </si>
  <si>
    <t>最短・最速で学ぶ Firebase Hosting + React Todoアプリ実装編 (React Hooks)</t>
  </si>
  <si>
    <t>現役シリコンバレーエンジニアが教えるアジャイル開発</t>
  </si>
  <si>
    <t>【ダイヤモンド編集部が厳選、超基礎編！】あなたのチームの創造力を強くする 10のフレームワークと思考法</t>
  </si>
  <si>
    <t>株式会社 ダイヤモンド社</t>
  </si>
  <si>
    <t>パソコン仕事 高速化の教科書(Windows10)10の時短技、速くなる13設定、コマンドでの半自動化を120分で学ぼう</t>
  </si>
  <si>
    <t>｢PMP®認定試験｣で一発合格を目指す！ 試験攻略のための実践問題演習コース 全100問 (2020)</t>
  </si>
  <si>
    <t>[ALL in ONE] ハイパフォーマンス・エクセルスキル完全マスター講座／11時間の身につく学習であなたが即戦力へ！</t>
  </si>
  <si>
    <t>このリーダーについていきたいと思われる！「リーダーシップセオリー」入門講座</t>
  </si>
  <si>
    <t>伊庭 正康</t>
  </si>
  <si>
    <t>これだけでSQLマスター！ゼロからSQLを駆使したビジネスデータ解析の全てをマスターする講座（AWS MySQL）</t>
  </si>
  <si>
    <t>Taichi Takahashi</t>
  </si>
  <si>
    <t>企画が通る！選ばれる「コンセプト」の作り方〜初心者でも価値を生むVPキャンバス〜【デザイン思考 Vol.2】</t>
  </si>
  <si>
    <t>【世界で70万人が受講】理論と実践から学ぶ 機械学習のすべて with Python</t>
  </si>
  <si>
    <t>Machine Learning A-Z Japanese</t>
  </si>
  <si>
    <t>Excelショートカット道場 ～仕事を３倍速にする７つの「型」をひたすら繰り返せばスキルが身につく240分トレーニング</t>
  </si>
  <si>
    <t>ネットワークエンジニアを目指す初心者はここから始めよう！「ゼロから学ぶネットワーク基礎」豊富な図解で徹底解説</t>
  </si>
  <si>
    <t>Hisashi Wakisaka</t>
  </si>
  <si>
    <t>セキュリティ入門（情報セキュリティマネジメント試験レベル）</t>
  </si>
  <si>
    <t>一般社団法人 CSIRTトレーニングセンター</t>
  </si>
  <si>
    <t>AWS 認定SysOpsアドミニストレーター アソシエイト模擬試験問題集（全4回分260問）</t>
  </si>
  <si>
    <t>ITパスポート最速合格コース ～効率的な学習で0から合格まで～</t>
  </si>
  <si>
    <t>■ LPI Linux Essentials （エッセンシャル） 資格取得コース （LPI公認）</t>
  </si>
  <si>
    <t>海堂 正裕</t>
  </si>
  <si>
    <t>現役シリコンバレーエンジニアが教えるPythonでFXのシストレFintechアプリの開発</t>
  </si>
  <si>
    <t>これだけ知っていれば大丈夫！プログラミング入門以前の基礎知識</t>
  </si>
  <si>
    <t>Pythonによるビジネスに役立つWebスクレイピング（BeautifulSoup、Selenium、Requests）</t>
  </si>
  <si>
    <t>清水 義孝</t>
  </si>
  <si>
    <t>【GCP認定資格】Google Cloud Platform Associate Cloud Engineer模擬問題集</t>
  </si>
  <si>
    <t>NZ クラウド</t>
  </si>
  <si>
    <t>シリコンバレーエンジニア監修！GAFAデータ構造コーディング試験入門in Java &amp; Python【やさしい図解説付】</t>
  </si>
  <si>
    <t>CS Career Kaizen (元Microsoft現シリバレエンジニア)</t>
  </si>
  <si>
    <t>はじめての財務分析（入門）～財務三表（B/S、P/L、C/S）の構造を押さえよう！4時間でシンプルに本質をつかむ</t>
  </si>
  <si>
    <t>MindSeeds 丹羽 亮介</t>
  </si>
  <si>
    <t>【演習形式で学ぶ】「データ分析実務スキル検定(CBAS)」合格への道(データ分析実務スキル証明資格で高得点を目指す講座)</t>
  </si>
  <si>
    <t>株式会社 データミックス</t>
  </si>
  <si>
    <t>【電子工作不要】Raspberry PiとPythonで感染症対策～IoT換気モニタリング講座～</t>
  </si>
  <si>
    <t>[基礎編]React Hooks + Django REST Framework API でフルスタックWeb開発</t>
  </si>
  <si>
    <t>Python デザインパターンマスター講座～Pythonの基本文法、コーディング規約、命名規約、プログラミング技術～</t>
  </si>
  <si>
    <t>最速で学ぶ - Google Cloud Platform（GCP）入門完全攻略コース</t>
  </si>
  <si>
    <t>【デジタルトランスフォーメーション】事例と理論で学ぶ、DXの基礎知識&amp;戦略論</t>
  </si>
  <si>
    <t>直人 岡村</t>
  </si>
  <si>
    <t>～離職を無くしエンゲージメントを高める～社員が辞めない会社づくりセミナー</t>
  </si>
  <si>
    <t>今日から始めるデジタルトランスフォーメーション！テクノロジーの仕組みからデータ活用基盤のつくりかたまで</t>
  </si>
  <si>
    <t>手を動かして考える！DX戦略とビジネスモデル（グランドデザイン編）</t>
  </si>
  <si>
    <t>Kazuyasu Shirai</t>
  </si>
  <si>
    <t>最短・最速で作る Youtube クローンアプリ React・React Hooks編</t>
  </si>
  <si>
    <t>コロナ時代の「超 テレワーク 仕事術」 週4日の働きで成果を上げる、リモートワーク先進企業の生産性アップ術 160分講座</t>
  </si>
  <si>
    <t>画像処理の基礎：フィルタリング，パターン認識から撮像過程モデルまで</t>
  </si>
  <si>
    <t>[SNS編] React Hooks + Django RestFramework API でフルスタックWeb開発</t>
  </si>
  <si>
    <t>＜実はこれだけマネジメント＞組織で成果を出せるマネージャー養成講座～上に立つ人の人間力 &amp; スキルを磨く～</t>
  </si>
  <si>
    <t>三枝 理枝子</t>
  </si>
  <si>
    <t>伝わる！引き出す！リモートワーク会議術</t>
  </si>
  <si>
    <t>現役シリコンバレーエンジニアが教えるアルゴリズム・データ構造・コーディングテスト入門</t>
  </si>
  <si>
    <t>実務直結！Excelデータを駆使してビジネスを成長させる！実践的な分析手法【初級～中級編】</t>
  </si>
  <si>
    <t>【iOS開発】SwiftUIで実践的なiPhoneアプリを作成しながらプロの技術を学ぶ！Todoアプリを完成させよう！</t>
  </si>
  <si>
    <t>金田浩明 (Hiroaki Kaneda)</t>
  </si>
  <si>
    <t>【Hands Onで学ぶ】PyTorchによる深層学習入門</t>
  </si>
  <si>
    <t>超初心者がゼロからIT基礎知識とAWSの基礎力を獲得する講座【AWS操作を通してインフラやIT知識を獲得】</t>
  </si>
  <si>
    <t>【業務自動化をゼロからマスター】Google Apps Scriptの仕事効率化・自動化をプログラミングで実現</t>
  </si>
  <si>
    <t>木村 喜生</t>
  </si>
  <si>
    <t>【PyTorch+Colab】PyTorchで実装するディープラーニング -CNN、RNN、人工知能Webアプリの構築-</t>
  </si>
  <si>
    <t>【22倍印象に残る】グローバルでも通用するPowerpoint資料作成術 ～思考整理から資料作成までの黄金の4ステップ～</t>
  </si>
  <si>
    <t>市川 瑛子</t>
  </si>
  <si>
    <t>「段取りのキホン」の著者が語るタイムマネジメント！オフィス＆在宅での時間管理（リピート9割超の人気研修をWeb化）</t>
  </si>
  <si>
    <t>作りながら覚えるMicrosoft Azure入門講座（PaaS編）</t>
  </si>
  <si>
    <t>初心者向け｜1時間でWeb API とスクレイピングを学びながら簡単にできるLINE BOT 作り方｜GASを使って作成</t>
  </si>
  <si>
    <t>高幸 仲条</t>
  </si>
  <si>
    <t>米シリコンバレーDevOpsエンジニア監修！超Docker完全入門(2020)【優しい図解説とハンズオンLab付き】</t>
  </si>
  <si>
    <t>【E資格の前に】PyTorchで学ぶディープラーニング実装</t>
  </si>
  <si>
    <t>株式会社 AVILEN</t>
  </si>
  <si>
    <t>プロダクトマネジメント実践講座: シリコンバレーの現役プロダクトマネージャーが伝授する、伝わるプロダクトアイデアの書き方</t>
  </si>
  <si>
    <t>【超実践】すぐに使えるクリティカル・シンキング！〜主体性を取り戻し、ぶれない軸をつくる意思決定スキル〜</t>
  </si>
  <si>
    <t>米シリコンバレーDevOpsエンジニア監修！超Kubernetes完全入門(2020)【優しい図解説とハンズオン】</t>
  </si>
  <si>
    <t>[Redux編] Redux Tool KitとReact HooksによるモダンReact フロントエンド開発</t>
  </si>
  <si>
    <t>これだけでOK! AWS認定クラウドプラクティショナー試験突破講座（豊富な試験問題290問付き）</t>
  </si>
  <si>
    <t>[COVID 19アプリ編] Reactで作るコロナウイルス Live ダッシュボード</t>
  </si>
  <si>
    <t>【続】Microsoft Power BI Desktop - 入門講座 ～DAX-TABLE FUNCTION特訓編～</t>
  </si>
  <si>
    <t>ゼロから始める！パワーポイント最速資料作成術</t>
  </si>
  <si>
    <t>Kubernetesから始めるDX【非エンジニア/超初心者向け講座】</t>
  </si>
  <si>
    <t>こだま りょう</t>
  </si>
  <si>
    <t>米シリコンバレーエンジニア監修！AWS EKS KubernetesハンズオンBest Practices (2020)</t>
  </si>
  <si>
    <t>【最新2020】HTML5、CSS3をマスターして、未経験からWEBデザイン・エンジニアを目指す 実践マスターコース</t>
  </si>
  <si>
    <t>【世界で8万人が受講：Python for Finance】Pythonを使って学ぶ現代ファイナンス理論と実践</t>
  </si>
  <si>
    <t>新CCNA（200-301）完全未経験からの合格講座（上）【YouTube高評価率98.2%のパワーアップ完全版】</t>
  </si>
  <si>
    <t>HIROKI KIKUSHIGE</t>
  </si>
  <si>
    <t>実践編：React NativeとFirebaseで作るiOS/Androidアプリ：お店レビューアプリ開発編</t>
  </si>
  <si>
    <t>創造性をビジネスに活かせる！アート思考×デザイン思考実践セミナー</t>
  </si>
  <si>
    <t>柴田”shiba” 雄一郎</t>
  </si>
  <si>
    <t>Reactソフトウェアテスト(Hooks+ReduxToolKit時代のモダンテスト手法)</t>
  </si>
  <si>
    <t>【初めてのチーム管理】エクセルで学ぶ業績評価と予算管理（管理会計）</t>
  </si>
  <si>
    <t>【Flutter+Firebase+MLKit】人工知能（AI）を搭載したiOS、Androidアプリを作ろう</t>
  </si>
  <si>
    <t>認知文法に基づく英語学習 英文法HACKER</t>
  </si>
  <si>
    <t>株式会社 スタディーハッカー</t>
  </si>
  <si>
    <t>モダンJavaSciptの基礎から始める挫折しないためのReact入門</t>
  </si>
  <si>
    <t>じゃけぇ (Takumi Okada)</t>
  </si>
  <si>
    <t>【世界で2万人が受講！】EQ（心の知能指数）：感情から学び、職場で活かすために</t>
  </si>
  <si>
    <t>Leila Bulling Towne</t>
  </si>
  <si>
    <t>【初めてのKPI管理】エクセルで学ぶ重要指標マネジメント</t>
  </si>
  <si>
    <t>【 初心者から上級者まで 】エクセルで学ぶマーケティングデータ分析マスターコース</t>
  </si>
  <si>
    <t>[JIRA編]React Hooks/TypeScript + Django REST APIで作るオリジナルJIRA</t>
  </si>
  <si>
    <t>AWSで作るWEBアプリケーション 実践講座</t>
  </si>
  <si>
    <t>最短・最速で作る ビデオチャットアプリケーション NodeJS + WebRTC編</t>
  </si>
  <si>
    <t>人工知能（AI）を搭載したTwitterボットを作ろう【Seq2Seq+Attention+Colab】</t>
  </si>
  <si>
    <t>【はむ式】Firebase未経験者のためのReactで作るチャットアプリ開発入門！2021年へ向け最速最短でゴール到達！</t>
  </si>
  <si>
    <t>「営業の一流、二流、三流」の著者がお届けする、「誰もがトップセールスになれる！営業スキル大全」</t>
  </si>
  <si>
    <t>Firebase + React Hooks(TypeScript)によるWebアプリ開発</t>
  </si>
  <si>
    <t>【超速習】7つのビジネスフレームワーク入門！〜生産性が今すぐ上がる必須の7つ道具〜</t>
  </si>
  <si>
    <t>説得力を高め問題解決に導く！実務直結”データを活かした”戦略的ストーリーメイキング講座</t>
  </si>
  <si>
    <t>Yoshiki Kashiwagi</t>
  </si>
  <si>
    <t>【論理的思考を身に付ける】売上・利益を上げるために使える24の実践フレームワーク</t>
  </si>
  <si>
    <r>
      <rPr>
        <b/>
        <sz val="12"/>
        <color rgb="FFFFFFFF"/>
        <rFont val="arial,sans,sans-serif"/>
      </rPr>
      <t xml:space="preserve">List of International Collection courses in </t>
    </r>
    <r>
      <rPr>
        <b/>
        <u/>
        <sz val="12"/>
        <color rgb="FFFFFFFF"/>
        <rFont val="arial,sans,sans-serif"/>
      </rPr>
      <t>Spanish</t>
    </r>
  </si>
  <si>
    <t>Total courses: 802</t>
  </si>
  <si>
    <t>Guía de Referencia: AZ-900 | Laboratorios | Cuestionarios</t>
  </si>
  <si>
    <t>Héctor Uriel Pérez</t>
  </si>
  <si>
    <t>Guía Definitiva: 70-532 Developing Microsoft Azure Solutions</t>
  </si>
  <si>
    <t>Microsoft Azure Fundamentals Curso AZ-900 - En Español 2020</t>
  </si>
  <si>
    <t>Ramiro Calderon Marin</t>
  </si>
  <si>
    <t>Azure Administrator - AZ 104 - En Español - Actualizado 2020</t>
  </si>
  <si>
    <t>Microservicios con Spring Boot y Spring Cloud Netflix Eureka</t>
  </si>
  <si>
    <t>Andrés José Guzmán</t>
  </si>
  <si>
    <t>Curso Introducción a Amazon Web Services (AWS) desde cero</t>
  </si>
  <si>
    <t>JMG Virtual Consulting S.L</t>
  </si>
  <si>
    <t>Serverless en Español con AWS y Serverless Framework</t>
  </si>
  <si>
    <t>Marcia Villalba</t>
  </si>
  <si>
    <t>Introducción a Serverless, Lambdas y Api Gateway con AWS</t>
  </si>
  <si>
    <t>Israel Parra</t>
  </si>
  <si>
    <t>Curso completo Openstack: De principiante a avanzado</t>
  </si>
  <si>
    <t>Servidores en Microsoft Azure (usando IaaS)</t>
  </si>
  <si>
    <t>Jonatan Chinchilla Arias</t>
  </si>
  <si>
    <t>Amazon AWS. Curso básico de Amazon AWS. Aprende desde cero</t>
  </si>
  <si>
    <t>Redait Media</t>
  </si>
  <si>
    <t>Implementación de soluciones en Microsoft Azure</t>
  </si>
  <si>
    <t>Jair Gómez</t>
  </si>
  <si>
    <t>Curso Power BI – Análisis de Datos y Business Intelligence</t>
  </si>
  <si>
    <t>Javier Gomez</t>
  </si>
  <si>
    <t>SQL. Curso completo de SQL. Aprende desde cero. Comandos SQL</t>
  </si>
  <si>
    <t>Entrenamiento completo en Data Science con Python 2020</t>
  </si>
  <si>
    <t>Power BI Máster en poco tiempo - Desktop, Móvil y en la Nube</t>
  </si>
  <si>
    <t>Diego Lopez</t>
  </si>
  <si>
    <t>Análisis y Visualización de Datos con Power BI</t>
  </si>
  <si>
    <t>Omar Wally</t>
  </si>
  <si>
    <t>SQL Consultas en Microsoft SQL Server  Certificación 70-761</t>
  </si>
  <si>
    <t>Victor Hugo Cárdenas Valenzuela</t>
  </si>
  <si>
    <t>Curso completo de R para Data Science con Tidyverse</t>
  </si>
  <si>
    <t>Juan Gabriel Gomila Salas</t>
  </si>
  <si>
    <t>Inteligencia de Negocios  Con Power BI y Sql Server 2019</t>
  </si>
  <si>
    <t>Denis Enrique Guido Rodríguez</t>
  </si>
  <si>
    <t>SQL para administración de Bases de Datos con MySQL</t>
  </si>
  <si>
    <t>Oscar Alejandro Flavio García Fuentes</t>
  </si>
  <si>
    <t>Análisis de Datos y Gráficos con Python: Panda y Matplotlib.</t>
  </si>
  <si>
    <t>Alvaro Chirou • 200.000+ Students Worldwide</t>
  </si>
  <si>
    <t>Business Intelligence Power BI - Toma Decisiones Inteligente</t>
  </si>
  <si>
    <t>Ivan Pinar Domínguez</t>
  </si>
  <si>
    <t>Power BI: Dando Vida a tus Datos con Informes Empresariales</t>
  </si>
  <si>
    <t>Eduardo Rosas</t>
  </si>
  <si>
    <t>Estadística descriptiva e inferencial con R</t>
  </si>
  <si>
    <t>Cristina Molero</t>
  </si>
  <si>
    <t>Aprende a analizar los datos del COVID19 con R y Python</t>
  </si>
  <si>
    <t>Web Scraping: Extracción de datos y automatización en la web</t>
  </si>
  <si>
    <t>R : ¡Data Science y Análisis de Datos con Ejercicios Reales!</t>
  </si>
  <si>
    <t>R Spanish</t>
  </si>
  <si>
    <t>Hadoop Big Data desde cero</t>
  </si>
  <si>
    <t>Apasoft Training</t>
  </si>
  <si>
    <t>Curso completo de Inteligencia Artificial con Python</t>
  </si>
  <si>
    <t>Procesando el Big Data con Apache Spark (en español)</t>
  </si>
  <si>
    <t>Tomás Fernández Pena</t>
  </si>
  <si>
    <t>Aprende QGIS desde cero. Un SIG de código libre.</t>
  </si>
  <si>
    <t>Carles Fernández</t>
  </si>
  <si>
    <t>Curso de ArcGIS 10</t>
  </si>
  <si>
    <t>Franz Pucha Cofrep</t>
  </si>
  <si>
    <t>Máster en IoT - Conéctate al Futuro</t>
  </si>
  <si>
    <t>Curso avanzado de Series Temporales con R y Python</t>
  </si>
  <si>
    <t>Elisa Cabana Garceran del Vall</t>
  </si>
  <si>
    <t>Modelización y análisis de inundaciones con Hec-RAS y ArcGIS</t>
  </si>
  <si>
    <t>Antonio Gallegos Reina</t>
  </si>
  <si>
    <t>Curso Completo Power BI Desktop - Última versión de Power BI</t>
  </si>
  <si>
    <t>Elastic Stack 7. Beats, Logstash, Elasticsearch, Kibana. ELK</t>
  </si>
  <si>
    <t>Alberto Martínez Ballesteros</t>
  </si>
  <si>
    <t>Análisis y Visualización de Datos con Tableau</t>
  </si>
  <si>
    <t>Sergio Llobet</t>
  </si>
  <si>
    <t>Guía completa de ELK Stack: Elasticsearch, Logstash, Kibana</t>
  </si>
  <si>
    <t>Sergio Losada Rodríguez</t>
  </si>
  <si>
    <t>Crea un Modelo de SUPPLY CHAIN Analytics con Power BI</t>
  </si>
  <si>
    <t>Pedro Daniel Alcalá Rojas</t>
  </si>
  <si>
    <t>Call Center Analytica con Business Intelligence y Power BI</t>
  </si>
  <si>
    <t>Curso completo de Machine Learning: Data Science en Python</t>
  </si>
  <si>
    <t>Machine Learning de A a la Z: R y Python para Data Science</t>
  </si>
  <si>
    <t>Curso maestro de Web Scraping: Extracción de Datos de la Web</t>
  </si>
  <si>
    <t>Leonardo Kuffo</t>
  </si>
  <si>
    <t>Deep Learning de A a Z:redes neuronales en Python desde cero</t>
  </si>
  <si>
    <t>Deep Learning Spanish</t>
  </si>
  <si>
    <t>Inteligencia Artificial aplicada a Negocios y Empresas</t>
  </si>
  <si>
    <t>AI for Business Spanish Spanish</t>
  </si>
  <si>
    <t>Tensorflow 2.0: Guía completa para el Nuevo Tensorflow</t>
  </si>
  <si>
    <t>Curso completo de Machine Learning: Data Science con RStudio</t>
  </si>
  <si>
    <t>La Inteligencia Artificial - Simplificado</t>
  </si>
  <si>
    <t>Fernando Pérez</t>
  </si>
  <si>
    <t>Deep Learning e Inteligencia artificial con Keras/Tensorflow</t>
  </si>
  <si>
    <t>David Fuentes Jiménez</t>
  </si>
  <si>
    <t>Probabilidad para Machine Learning y Big Data con R y Python</t>
  </si>
  <si>
    <t>Masterclass en Inteligencia Artificial</t>
  </si>
  <si>
    <t>AI Masterclass Spanish</t>
  </si>
  <si>
    <t>Deep Learning con Tensorflow para Machine Learning e IA</t>
  </si>
  <si>
    <t>Estadística inferencial para Machine Learning con R y Python</t>
  </si>
  <si>
    <t>Deep Learning aplicado: Diagnóstico de Covid-19 en Rayos X</t>
  </si>
  <si>
    <t>Mirko J. Rodríguez</t>
  </si>
  <si>
    <t>Machine Learning desde cero: Proyectos reales en Python 3</t>
  </si>
  <si>
    <t>Santiago Hernández</t>
  </si>
  <si>
    <t>Curso completo de Estadística descriptiva - RStudio y Python</t>
  </si>
  <si>
    <t>Estadística para Data Science y análisis de negocios</t>
  </si>
  <si>
    <t>Curso avanzado de estadística multivariante con R y Python</t>
  </si>
  <si>
    <t>Examen de nivelación de Matematicas</t>
  </si>
  <si>
    <t>Nestor Martinez</t>
  </si>
  <si>
    <t>MACHINE LEARNING MASTERCLASS 2021 Y REDES NEURONALES! PYTHON</t>
  </si>
  <si>
    <t>Pablo Sanz</t>
  </si>
  <si>
    <t>After Effects: De zero a Master</t>
  </si>
  <si>
    <t>Daniel Nuñez</t>
  </si>
  <si>
    <t>Blender 2.9 EXPERTO en Modelado 3D desde CERO hasta Avanzado</t>
  </si>
  <si>
    <t>Mariano Rivas</t>
  </si>
  <si>
    <t>Curso de AutoCAD 2019 desde cero y paso a paso | 11 Horas</t>
  </si>
  <si>
    <t>Felipe Nicholls</t>
  </si>
  <si>
    <t>Adobe Lightroom CC+Classic: Masterclass de Edición de Fotos</t>
  </si>
  <si>
    <t>Video School</t>
  </si>
  <si>
    <t>Ilustración Digital para Principiantes en Adobe Illustrator</t>
  </si>
  <si>
    <t>Moy Lobito</t>
  </si>
  <si>
    <t>Esculpido Orgánico Digital con ZBrush</t>
  </si>
  <si>
    <t>Odin Fernandez</t>
  </si>
  <si>
    <t>Edición de Vídeo: Conviértete en experto con Adobe Premiere</t>
  </si>
  <si>
    <t>Xavier Espinoza</t>
  </si>
  <si>
    <t>MASTER en Autodesk MAYA | Aprende 3D de 0 a 100</t>
  </si>
  <si>
    <t>3D POP</t>
  </si>
  <si>
    <t>Aprender Revit 2020 desde cero con un proyecto</t>
  </si>
  <si>
    <t>Carlos Lucena</t>
  </si>
  <si>
    <t>Aprende AutoCAD 2D y 3D: Básico e Intermedio.</t>
  </si>
  <si>
    <t>SDQ Training Center</t>
  </si>
  <si>
    <t>Modela en 3D con SketchUp Pro. 2021 Impartido por Arquitecto</t>
  </si>
  <si>
    <t>Álvaro García</t>
  </si>
  <si>
    <t>Blender 2.9x a 2.7x Curso Profesional + WEB &amp; Unreal Engine</t>
  </si>
  <si>
    <t>Sebastián Vargas Molano</t>
  </si>
  <si>
    <t>VRay SketchUp. De Básico a Profesional Experto (ChaosGroup)</t>
  </si>
  <si>
    <t>Curso de SolidWorks desde Cero y Completo</t>
  </si>
  <si>
    <t>Adobe InDesign CC Máster: De Básico a Profesional.</t>
  </si>
  <si>
    <t>Marlon Ceballos</t>
  </si>
  <si>
    <t>Adobe InDesign CC: Curso Completo desde Cero</t>
  </si>
  <si>
    <t>After Effects CC Masterclass - Actualizado a CC 2020</t>
  </si>
  <si>
    <t>Phil Ebiner</t>
  </si>
  <si>
    <t>Aprende 3ds Max desde cero a Profesional</t>
  </si>
  <si>
    <t>Nedgardo Otero</t>
  </si>
  <si>
    <t>Aprender Revit 2018 desde cero con un proyecto</t>
  </si>
  <si>
    <t>3D Studio Max:  Espacios arquitectónicos</t>
  </si>
  <si>
    <t>Aprende Revit: orientado a la arquitectura</t>
  </si>
  <si>
    <t>Navisworks Manage 2018. Herramienta del BIM Coordinator</t>
  </si>
  <si>
    <t>Cómo usar BIM en tus proyectos</t>
  </si>
  <si>
    <t>Felix Enzo Garofalo Lanzuisi</t>
  </si>
  <si>
    <t>Blender 2.9X: Modelado y texturizado enfocado a videojuegos</t>
  </si>
  <si>
    <t>Curso de diseño narrativo y guión de videojuegos</t>
  </si>
  <si>
    <t>Ángel Codón Ramos</t>
  </si>
  <si>
    <t>Master Diseño Digital con Adobe Photoshop CC 2019 + 30 horas</t>
  </si>
  <si>
    <t>Adobe Premiere Pro CC para Principiantes: Edición de Videos</t>
  </si>
  <si>
    <t>Curso Diseño Grafico Completo</t>
  </si>
  <si>
    <t>Illustrator CC para novatos: ¡desde cero hasta experto!</t>
  </si>
  <si>
    <t>Joel Combes</t>
  </si>
  <si>
    <t>Adobe Photoshop Lightroom</t>
  </si>
  <si>
    <t>El Profesor Online Plataforma e-learning</t>
  </si>
  <si>
    <t>Adobe Illustrator CC Máster: De Básico a Profesional.</t>
  </si>
  <si>
    <t>Cómo Diseñar Logos</t>
  </si>
  <si>
    <t>Ruth Cepero</t>
  </si>
  <si>
    <t>Curso Master de Canva | Diseña como un profesional con Canva</t>
  </si>
  <si>
    <t>Diana Muñoz</t>
  </si>
  <si>
    <t>Diseño Gráfico y Audiovisual: Máster Course</t>
  </si>
  <si>
    <t>Francisco Javier del Castillo Cortazar</t>
  </si>
  <si>
    <t>Diseño Web y Móvil con Sketch</t>
  </si>
  <si>
    <t>Eugenia Jongewaard</t>
  </si>
  <si>
    <t>Diseña en Canva Gráficos Profesionales con Proyectos Reales</t>
  </si>
  <si>
    <t>Jose Mark</t>
  </si>
  <si>
    <t>LayOut para SketchUp. Diseño avanzado de presentaciones.</t>
  </si>
  <si>
    <t>Adobe XD CC - Máster: Diseño profesional de prototipos.</t>
  </si>
  <si>
    <t>Adobe XD: Aprende a crear prototipos profesionales desde 0</t>
  </si>
  <si>
    <t>Carlos Arturo Esparza</t>
  </si>
  <si>
    <t>Curso Profesional de Adobe XD</t>
  </si>
  <si>
    <t>Diseño UX + HTML5 y CSS3 ¡Fácil y práctico!</t>
  </si>
  <si>
    <t>DCV. Gladys Lorena Ayala</t>
  </si>
  <si>
    <t>UX/UI y Prototipado digital</t>
  </si>
  <si>
    <t>Mick Arriaga</t>
  </si>
  <si>
    <t>Curso profesional de Adobe XD: ¡De cero a Experto!</t>
  </si>
  <si>
    <t>Juan Felipe Delgado Vargas</t>
  </si>
  <si>
    <t>UX: Máster en Diseño web y Experiencia de Usuario</t>
  </si>
  <si>
    <t>Juan Fernando Urrego</t>
  </si>
  <si>
    <t>Maestría en Diseño Web Responsive (para no programadores)</t>
  </si>
  <si>
    <t>Erick Mines</t>
  </si>
  <si>
    <t>Crea Sitios Joomla Extraordinarios para Empresas con Gantry</t>
  </si>
  <si>
    <t>SQL - Curso completo de Bases de Datos - de 0 a Avanzado</t>
  </si>
  <si>
    <t>Pablo Tilotta</t>
  </si>
  <si>
    <t>Aprende Oracle PL/SQL desde Cero</t>
  </si>
  <si>
    <t>Aprende  Oracle SQL desde cero</t>
  </si>
  <si>
    <t>PL/SQL de ORACLE en Español</t>
  </si>
  <si>
    <t>Fernando Herrera</t>
  </si>
  <si>
    <t>SQL Básico - Intermedio ¡Añade valor a tu CV en 2 horas!</t>
  </si>
  <si>
    <t>Raúl Montesinos</t>
  </si>
  <si>
    <t>Blockchain y Bitcoin: Fundamentos Esenciales</t>
  </si>
  <si>
    <t>George Levy</t>
  </si>
  <si>
    <t>Oracle Weblogic desde Cero</t>
  </si>
  <si>
    <t>Diseño de Bases de Datos Relacionales</t>
  </si>
  <si>
    <t>Enzo D'Amario</t>
  </si>
  <si>
    <t>Curso MySQL de cero hasta experto Ver 5.7 y 8 Linux Act 2020</t>
  </si>
  <si>
    <t>IVAN ELISEO TINAJERO DIAZ</t>
  </si>
  <si>
    <t>Conviértete en desarrollador Blockchain con Ethereum</t>
  </si>
  <si>
    <t>Carlos Landeras</t>
  </si>
  <si>
    <t>SQL Server: domina lo necesario para el trabajo</t>
  </si>
  <si>
    <t>Gabriel Serrano, MBA</t>
  </si>
  <si>
    <t>Sistema de ventas Profesional en C# y SQLserver</t>
  </si>
  <si>
    <t>Codigo 369</t>
  </si>
  <si>
    <t>Sistema de Inventario de Activos con Visual Basic .NET y SQL</t>
  </si>
  <si>
    <t>Jairo Galeas</t>
  </si>
  <si>
    <t>Máster en SQL Server: Desde Cero a Nivel Profesional 2020</t>
  </si>
  <si>
    <t>Mariano Puglisi</t>
  </si>
  <si>
    <t>Core Data en iOS  y Swift | La Mejor Introducción</t>
  </si>
  <si>
    <t>Juan Villalvazo</t>
  </si>
  <si>
    <t>Análisis de Datos con Pandas y Python</t>
  </si>
  <si>
    <t>Federico Garay</t>
  </si>
  <si>
    <t>Oracle PL/SQL avanzado</t>
  </si>
  <si>
    <t>Docker, de principiante a experto</t>
  </si>
  <si>
    <t>Ricardo Andre Gonzalez Gomez</t>
  </si>
  <si>
    <t>GIT+GitHub: Todo un sistema de control de versiones de cero</t>
  </si>
  <si>
    <t>Kubernetes, de principiante a experto</t>
  </si>
  <si>
    <t>Jenkins, De Cero A Experto: Conviértete En Un Jenkins Master</t>
  </si>
  <si>
    <t>DevOps - Las Artes Marciales del Software</t>
  </si>
  <si>
    <t>JJ Ruescas</t>
  </si>
  <si>
    <t>Aprende Docker desde Cero a Swarm y Kubernetes</t>
  </si>
  <si>
    <t>Curso de Ansible: Automatización de principiante a experto.</t>
  </si>
  <si>
    <t>Proyecto Oforte Cursos de calidad sobre Tecnología.</t>
  </si>
  <si>
    <t>Curso de Git y la Terminal de comandos - Para programadores</t>
  </si>
  <si>
    <t>Víctor Robles</t>
  </si>
  <si>
    <t>Docker y DevOps: De novato a experto.</t>
  </si>
  <si>
    <t>Daniel Echeverri Montoya</t>
  </si>
  <si>
    <t>Kubernetes al completo</t>
  </si>
  <si>
    <t>Kubernetes para Desarrolladores</t>
  </si>
  <si>
    <t>Kubernetes sencillo para desarrolladores</t>
  </si>
  <si>
    <t>Iñigo Serrano</t>
  </si>
  <si>
    <t>Curso de Git y Github:  GIT PROFESIONAL desde cero + E-Book</t>
  </si>
  <si>
    <t>Cesar Colina Desarrollo Web</t>
  </si>
  <si>
    <t>Docker Curso Intensivo para DevOps y Desarrolladores.</t>
  </si>
  <si>
    <t>Mirko Flores</t>
  </si>
  <si>
    <t>Integrando Docker a su infraestructura y servicios.</t>
  </si>
  <si>
    <t>Manuel Morejón</t>
  </si>
  <si>
    <t>MASTER EN CHATBOTS 202O! DIALOGFLOW ¡INCLUYE HOSTING GRATIS!</t>
  </si>
  <si>
    <t>60+ Herramientas de desarrollo y diseño web</t>
  </si>
  <si>
    <t>Alexa Skills Desde Cero | Crea apps de voz con Amazon AWS</t>
  </si>
  <si>
    <t>Kubernetes por un Guru de DevOps</t>
  </si>
  <si>
    <t>Labview Core I &amp;  Labview Core II</t>
  </si>
  <si>
    <t>Freiburg Mechatronik Education</t>
  </si>
  <si>
    <t>Kubernetes y docker en AWS desde cero</t>
  </si>
  <si>
    <t>Miguel Arranz</t>
  </si>
  <si>
    <t>Git y GitHub Completo Desde Cero</t>
  </si>
  <si>
    <t>Jose Javier Villena</t>
  </si>
  <si>
    <t>Desarrollo de juegos con Unreal Engine 4 de 0 a profesional</t>
  </si>
  <si>
    <t>Curso completo de Unity 2020: domina el mundo de videojuegos</t>
  </si>
  <si>
    <t>Aprende a crear un videojuego RPG en Unity 2019 desde cero</t>
  </si>
  <si>
    <t>Unreal Engine desde 0: Crea 3 Juegos con Blueprints y C++</t>
  </si>
  <si>
    <t>Nicolas Alejandro Borromeo</t>
  </si>
  <si>
    <t>Desarrollo de Videojuegos 2D en Unity 3D 5</t>
  </si>
  <si>
    <t>Alexis Jeansalle</t>
  </si>
  <si>
    <t>Nuevo Curso de Desarrollo de Videojuegos con Unity 2018 y C#</t>
  </si>
  <si>
    <t>Bootcamp de videojuegos 2D en Unity 5 desde cero con JB (I)</t>
  </si>
  <si>
    <t>SQLite, Unity® 3D, C# y Bases de datos para Videojuegos</t>
  </si>
  <si>
    <t>Crea sistemas de juegos en línea con canvas y PHP 7</t>
  </si>
  <si>
    <t>Unity3D: De 0 a la Realidad Virtual y Realidad Aumentada</t>
  </si>
  <si>
    <t>Pedro Muñoz</t>
  </si>
  <si>
    <t>Flutter: Tu guía completa de desarrollo para IOS y Android</t>
  </si>
  <si>
    <t>react-native sin fronteras</t>
  </si>
  <si>
    <t>Nicolas Schurmann</t>
  </si>
  <si>
    <t>ionic 6+: Crear aplicaciones IOS, Android y PWAs con Angular</t>
  </si>
  <si>
    <t>Máster en Programación de Videojuegos con Unity® 2020 y C#</t>
  </si>
  <si>
    <t>Programación de Android desde Cero +35 horas Curso COMPLETO</t>
  </si>
  <si>
    <t>iOS 14 y Swift 5.3  Curso Completo Desde Cero a Profesional</t>
  </si>
  <si>
    <t>React Native Expo: Creando un TripAdvisor de Restaurantes</t>
  </si>
  <si>
    <t>Agustin Navarro Galdon</t>
  </si>
  <si>
    <t>Flutter Intermedio: Diseños profesionales y animaciones</t>
  </si>
  <si>
    <t>Crea una App como UBER utilizando Android Studio y Firebase</t>
  </si>
  <si>
    <t>Jonathan Goyes</t>
  </si>
  <si>
    <t>React Native - Crea aplicaciones para Android y iOS c/ React</t>
  </si>
  <si>
    <t>Juan Pablo De la torre Valdez</t>
  </si>
  <si>
    <t>React Native: Crea aplicaciones móviles reales iOS y Android</t>
  </si>
  <si>
    <t>Flutter Avanzado: Lleva tu conocimiento al siguiente nivel</t>
  </si>
  <si>
    <t>Android Completo: Aprende Creando Apps</t>
  </si>
  <si>
    <t>Jesus Almaral (Hackaprende)</t>
  </si>
  <si>
    <t>Desarrollo de Aplicaciones móviles Android con App Inventor</t>
  </si>
  <si>
    <t>Jose Luis Núñez Montes</t>
  </si>
  <si>
    <t>Aprende Android Kotlin desde cero</t>
  </si>
  <si>
    <t>Severiano Valdez Pulido</t>
  </si>
  <si>
    <t>Aprende a programar Android con Kotlin + Firebase + Google</t>
  </si>
  <si>
    <t>Alejandro Lora</t>
  </si>
  <si>
    <t>iOS 12 y Swift 4: Curso Completo de Cero a Profesional</t>
  </si>
  <si>
    <t>Curso Android UI - Mejora la Interfaz de Usuario de tus Apps</t>
  </si>
  <si>
    <t>Alberto Palomar</t>
  </si>
  <si>
    <t>Curso completo de iOS 13 con Swift UI 5.2: de cero a experto</t>
  </si>
  <si>
    <t>Master avanzado de Android: patrones de programación</t>
  </si>
  <si>
    <t>Flutter Avanzado - El siguiente nivel del desarrollo móvil</t>
  </si>
  <si>
    <t>Darwin Morocho</t>
  </si>
  <si>
    <t>Kotlin | Introducción a la Programación</t>
  </si>
  <si>
    <t>Experto en Firebase para Android + MVP Curso Completo +30hrs</t>
  </si>
  <si>
    <t>Alain Nicolás Tello</t>
  </si>
  <si>
    <t>Realidad Aumentada con Unity®2019 y Vuforia Engine</t>
  </si>
  <si>
    <t>Mariano Sosa</t>
  </si>
  <si>
    <t>Master Unreal Engine 4 Desarrollo Videojuegos con Blueprints</t>
  </si>
  <si>
    <t>Aprende Xamarin Forms para desarrollar Apps multiplataforma</t>
  </si>
  <si>
    <t>Curso completo de Swift 5, el lenguaje para apps de Apple</t>
  </si>
  <si>
    <t>ionic 2/3: Crea apps para Android e iOS desde cero. (legacy)</t>
  </si>
  <si>
    <t>Substance Painter: Texturizado PBR para videojuegos.</t>
  </si>
  <si>
    <t>Desarrollo de videojuegos con Phaser 3 - Iniciación</t>
  </si>
  <si>
    <t>Francisco Pereira Alvarado</t>
  </si>
  <si>
    <t>React Native + Expo: Guia Inicial con Native Base y Redux</t>
  </si>
  <si>
    <t>Juan Jose Ortiz del Toro</t>
  </si>
  <si>
    <t>Bootcamp de programación de apps Android desde cero con JB</t>
  </si>
  <si>
    <t>Curso avanzado en temas selectos de Xamarin Forms</t>
  </si>
  <si>
    <t>Aprende a crea tus propias apps para Android N desde cero</t>
  </si>
  <si>
    <t>Curso de AndroidX y Firebase con Java Login y crud de datos</t>
  </si>
  <si>
    <t>Alex Joel Pagoada Suazo</t>
  </si>
  <si>
    <t>Desarrolla Aplicaciones Android con App Inventor desde Cero</t>
  </si>
  <si>
    <t>Introducción al desarrollo de apps para Android con JB</t>
  </si>
  <si>
    <t>Curso intensivo de Laravel y Android usando JWT y Kotlin</t>
  </si>
  <si>
    <t>Juan Ramos</t>
  </si>
  <si>
    <t>Xamarin Forms: Crea Apps Android, iOS y Windows con C#!</t>
  </si>
  <si>
    <t>Curso de Xamarin para Android y Firebase en C# Login y crud</t>
  </si>
  <si>
    <t>Curso Completo de iOS 10 y Swift 3: de Cero a Experto con JB</t>
  </si>
  <si>
    <t>Crea tu propio Pokemon Go para iOS</t>
  </si>
  <si>
    <t>Desarrollo de aplicaciones con iOS 12, swift 5 y Xcode 10</t>
  </si>
  <si>
    <t>Jorge Maldonado B.</t>
  </si>
  <si>
    <t>Curso Completo de Desarrollo de Apps para Apple Watch</t>
  </si>
  <si>
    <t>Curso completo de iOS 11 y Swift: de cero a experto con JB</t>
  </si>
  <si>
    <t>iOS 11 y Swift 4 - De Principiante a Experto</t>
  </si>
  <si>
    <t>Aldo Olivares</t>
  </si>
  <si>
    <t>Desarrollo de Aplicaciones en Android Studio con Kotlin</t>
  </si>
  <si>
    <t>Soluciones Informáticas J&amp;D</t>
  </si>
  <si>
    <t>Curso completo de iOS 12: de cero a experto</t>
  </si>
  <si>
    <t>Crea una APP Red Social con Chat estilo WHATSAPP con Android</t>
  </si>
  <si>
    <t>iOS 9 y Swift 2 | Curso Completo y Desde Cero</t>
  </si>
  <si>
    <t>Curso completo de Core Data en Swift - Persistencia de datos</t>
  </si>
  <si>
    <t>Diseño de apps para iOS 13 con Swift UI desde cero</t>
  </si>
  <si>
    <t>Realidad Aumentada (Augmented Reality AR) en Unity y Vuforia</t>
  </si>
  <si>
    <t>Massimiliano Alfieri</t>
  </si>
  <si>
    <t>Universidad Java - De Cero a Master +100 hrs (JDK 15 update)</t>
  </si>
  <si>
    <t>Global Mentoring Ing. Ubaldo Acosta</t>
  </si>
  <si>
    <t>Aprende Programación en Python</t>
  </si>
  <si>
    <t>Alejandro Miguel Taboada Sanchez</t>
  </si>
  <si>
    <t>Fundamentos de Programación</t>
  </si>
  <si>
    <t>Programación funcional en Java con Lambdas y Streams</t>
  </si>
  <si>
    <t>Domingo Sebastian</t>
  </si>
  <si>
    <t>JavaScript Moderno: Guía para dominar el lenguaje</t>
  </si>
  <si>
    <t>Aprende a programar con Go (Golang)</t>
  </si>
  <si>
    <t>Eduar Tua</t>
  </si>
  <si>
    <t>Aprende Programación en Java (de Básico a Avanzado)</t>
  </si>
  <si>
    <t>Universidad Python - Django, Flask, Postgresql y más! +40hrs</t>
  </si>
  <si>
    <t>Fundamentos de Programación - Aprende a programar desde cero</t>
  </si>
  <si>
    <t>Android y Kotlin Desde Cero a Profesional Completo +45 horas</t>
  </si>
  <si>
    <t>Java EE - Desde cero a Experto (EJB, JPA, Web Services, JSF)</t>
  </si>
  <si>
    <t>Aprende Programación en C++ (Básico - Intermedio - Avanzado)</t>
  </si>
  <si>
    <t>Aprende Programación C# con Visual Studio 2017 DESDE CERO</t>
  </si>
  <si>
    <t>Curso para Aprender C# : de Cero a Experto 【 2020 】</t>
  </si>
  <si>
    <t>SAP ABAP completo en Español</t>
  </si>
  <si>
    <t>Freddy Valderrama</t>
  </si>
  <si>
    <t>Dart: De cero hasta los detalles</t>
  </si>
  <si>
    <t>Aprender a programar con Java. De cero hasta hacer sistemas</t>
  </si>
  <si>
    <t>Javier Arturo Vázquez Olivares</t>
  </si>
  <si>
    <t>COBOL curso completo: Empieza a programar ¡Ya!</t>
  </si>
  <si>
    <t>Fernando Toledo</t>
  </si>
  <si>
    <t>Curso Django y Django rest framework de básico a profesional</t>
  </si>
  <si>
    <t>Cristhian Santa Cruz</t>
  </si>
  <si>
    <t>Comienza con R: Curso de R para Principiantes</t>
  </si>
  <si>
    <t>Sebastian Tunnell</t>
  </si>
  <si>
    <t>C# Curso Completo para ser programador</t>
  </si>
  <si>
    <t>Alam Mancera</t>
  </si>
  <si>
    <t>Aprende Java con 100 ejercicios prácticos (Incluye JavaFX)</t>
  </si>
  <si>
    <t>Disco Duro de Roer</t>
  </si>
  <si>
    <t>Desarrolla 1 Chatbot Messenger y aprende Python en el camino</t>
  </si>
  <si>
    <t>Aprende Programación en C desde cero</t>
  </si>
  <si>
    <t>Programación  Java SE desde 0</t>
  </si>
  <si>
    <t>Juan Díaz</t>
  </si>
  <si>
    <t>Desarrolla Sistemas en C# .Net - 4 capas con SQL Server</t>
  </si>
  <si>
    <t>Juan Carlos Arcila Díaz</t>
  </si>
  <si>
    <t>Curso Completo de Programación C Sharp (C#)</t>
  </si>
  <si>
    <t>Ángel Arias</t>
  </si>
  <si>
    <t>SAP ABAP Programación Iniciación</t>
  </si>
  <si>
    <t>Logali Group</t>
  </si>
  <si>
    <t>Club Java Master: De Novato a Experto Java. +80 hrs (JDK 13)</t>
  </si>
  <si>
    <t>Ing. Ubaldo Acosta</t>
  </si>
  <si>
    <t>Master en Colecciones y estructuras de datos en Java</t>
  </si>
  <si>
    <t>Aprende PHP desde cero con 36 ejercicios prácticos</t>
  </si>
  <si>
    <t>Fundamentos de Programación, Algoritmos en 5 Lenguajes.</t>
  </si>
  <si>
    <t>Edward Vidal</t>
  </si>
  <si>
    <t>C# Programación Orientada a Objetos</t>
  </si>
  <si>
    <t>Aprende Java Enterprise Edition (JavaEE) paso a paso</t>
  </si>
  <si>
    <t>5 Formas de conectar C# a una base de datos Sql Server</t>
  </si>
  <si>
    <t>Iniciandose en R</t>
  </si>
  <si>
    <t>Edar Onam Pech Santiago</t>
  </si>
  <si>
    <t>Introducción a la programación orientada a objetos con PHP</t>
  </si>
  <si>
    <t>Francisco Javier Arce Anguiano</t>
  </si>
  <si>
    <t>Programar Blueprints en Unreal Engine de 0 a profesional</t>
  </si>
  <si>
    <t>Carlos Coronado</t>
  </si>
  <si>
    <t>Aprende Objective-C: de Cero a Experto</t>
  </si>
  <si>
    <t>Máster Completo en Java de cero a experto con IntelliJ 2020</t>
  </si>
  <si>
    <t>React Native: Aprende React Native con ejercicios prácticos</t>
  </si>
  <si>
    <t>Aprende Spring Framework de la manera más simple en español</t>
  </si>
  <si>
    <t>CURSO PROFESIONAL DE JAVA ORIENTADO A OBJETOS</t>
  </si>
  <si>
    <t>Gustavo Coronel</t>
  </si>
  <si>
    <t>Aprende a programar y crea tus programas desde cero</t>
  </si>
  <si>
    <t>Miguel Fagundez</t>
  </si>
  <si>
    <t>Deep Learning - Redes Neuronales con Python</t>
  </si>
  <si>
    <t>Eric Alexander</t>
  </si>
  <si>
    <t>Masterclass Completa de C#</t>
  </si>
  <si>
    <t>Java EE 7 &amp; Frameworks - JSF2, Spring 4, Struts 2 y EJB3</t>
  </si>
  <si>
    <t>Programa tus Primeros Juegos HTML5 con JavaScript</t>
  </si>
  <si>
    <t>Javier Muñiz</t>
  </si>
  <si>
    <t>Programación Orientada a Objetos con C#: Un Caso Práctico</t>
  </si>
  <si>
    <t>Procesamiento del Lenguaje Natural con Python (NLP)</t>
  </si>
  <si>
    <t>Desarrolla sistemas en Java, MySQL, DAO, POO, Swing, 3 Capas</t>
  </si>
  <si>
    <t>POO en C#: aplica conceptos de POO en C# en proyectos reales</t>
  </si>
  <si>
    <t>Aprende a programar en C# en 6 horas: C# para principiantes</t>
  </si>
  <si>
    <t>Patrones de diseño de software y principios SOLID.</t>
  </si>
  <si>
    <t>Scrum: un marco para el desarrollo ágil de proyectos</t>
  </si>
  <si>
    <t>KNOWMENT Formación, consultoría y coaching</t>
  </si>
  <si>
    <t>Arquitectura de aplicaciones - MVP, Dagger, RxJava, Retrofit</t>
  </si>
  <si>
    <t>Algoritmos y estructuras de datos</t>
  </si>
  <si>
    <t>Christopher Bryan Padilla-Vallejo</t>
  </si>
  <si>
    <t>Sistema de ventas Moderno con Visual Basic net y SQLserver</t>
  </si>
  <si>
    <t>Introducción al Testing de Software: para Principiantes!</t>
  </si>
  <si>
    <t>Natalia Luna</t>
  </si>
  <si>
    <t>Software Testing de aplicaciones. Postman. Testing de API</t>
  </si>
  <si>
    <t>Francisco García</t>
  </si>
  <si>
    <t>Qa Testing: Guia Basica para QA y Robot Framework</t>
  </si>
  <si>
    <t>Winston Javier Castillo</t>
  </si>
  <si>
    <t>Automatiza tu navegador. Selenium WebDriver con Python.</t>
  </si>
  <si>
    <t>Test unitarios con JUnit. Curso de introducción</t>
  </si>
  <si>
    <t>Chris M.</t>
  </si>
  <si>
    <t>Serverless RESTFul API con NodeJS: guía fácil y definitiva</t>
  </si>
  <si>
    <t>UML para Analistas de Negocios</t>
  </si>
  <si>
    <t>Jonás A. Montilva C.</t>
  </si>
  <si>
    <t>Angular: De cero a experto (Angular 10+)</t>
  </si>
  <si>
    <t>Curso Maestro de Python 3: Aprende Desde Cero</t>
  </si>
  <si>
    <t>Héctor Costa Guzmán</t>
  </si>
  <si>
    <t>React: De cero a experto ( Hooks y MERN )</t>
  </si>
  <si>
    <t>Node: De cero a experto</t>
  </si>
  <si>
    <t>Spring Framework 5: Creando webapp de cero a experto (2020)</t>
  </si>
  <si>
    <t>Master en JavaScript: Aprender JS, jQuery, Angular, NodeJS</t>
  </si>
  <si>
    <t>React - La Guía Completa: Hooks Context Redux MERN +15 Apps</t>
  </si>
  <si>
    <t>Desarrollo Web Completo con HTML5, CSS3, JS AJAX PHP y MySQL</t>
  </si>
  <si>
    <t>JavaScript: de cero hasta los detalles (ES5)</t>
  </si>
  <si>
    <t>Master en Python: Aprender Python 3, Django, Flask y Tkinter</t>
  </si>
  <si>
    <t>JavaScript Moderno Guía Definitiva Construye +15 Proyectos</t>
  </si>
  <si>
    <t>TypeScript: tu completa guía y manual de mano.</t>
  </si>
  <si>
    <t>Angular &amp; Spring 5: Creando web app full stack (Angular 11+)</t>
  </si>
  <si>
    <t>React JS Desde Cero! Hooks, Redux, Context, Firebase y más!</t>
  </si>
  <si>
    <t>Ignacio bluuweb</t>
  </si>
  <si>
    <t>Curso de MongoDB - Aprende bases de datos NoSQL + API NodeJS</t>
  </si>
  <si>
    <t>Angular Avanzado: Lleva tus bases al siguiente nivel - MEAN</t>
  </si>
  <si>
    <t>Master en CSS: Responsive, SASS, Flexbox, Grid y Bootstrap 4</t>
  </si>
  <si>
    <t>Programación Reactiva con Spring Boot 2 y Spring WebFlux</t>
  </si>
  <si>
    <t>React JS + Redux + ES6. Completo ¡De 0 a experto! (español)</t>
  </si>
  <si>
    <t>Ing. Emiliano Ocariz</t>
  </si>
  <si>
    <t>Diseño Web Desde Cero a Avanzado 45h Curso COMPLETO</t>
  </si>
  <si>
    <t>Diseño Web Profesional El Curso Completo, Práctico y desde 0</t>
  </si>
  <si>
    <t>Vue js [Actualizado 2020] ¡De 0 a Experto! + Firebase + MEVN</t>
  </si>
  <si>
    <t>Aprende Javascript, HTML5 y CSS3</t>
  </si>
  <si>
    <t>Universidad React ★: De Cero a Master + 5 Cursos de Regalo</t>
  </si>
  <si>
    <t>Gerardo Gallegos</t>
  </si>
  <si>
    <t>Microservicios con Spring Cloud y Angular 11</t>
  </si>
  <si>
    <t>Master en ASP.NET Core y React Hooks en Azure</t>
  </si>
  <si>
    <t>Vaxi Drez</t>
  </si>
  <si>
    <t>Curso NodeJS 2020 - Crea tus Aplicaciones RESTful</t>
  </si>
  <si>
    <t>ReactiveX - RxJs: De cero hasta los detalles</t>
  </si>
  <si>
    <t>Spring Boot 2 &amp; Spring MVC-Desarrollo web profesional(2020)</t>
  </si>
  <si>
    <t>PWA - Aplicaciones Web Progresivas: De cero a experto</t>
  </si>
  <si>
    <t>Universidad Spring - Aprende Spring Framework y Spring Boot!</t>
  </si>
  <si>
    <t>REDUX en Angular con NGRX: Desde las bases hasta la práctica</t>
  </si>
  <si>
    <t>PHP 7 y MYSQL: El Curso Completo, Práctico y Desde Cero !</t>
  </si>
  <si>
    <t>WordPress - Curso Completo WordPress y Sitios Web</t>
  </si>
  <si>
    <t>Aprende a crear webs desde cero con HTML Y CSS</t>
  </si>
  <si>
    <t>Guillermo Rincón Gracia</t>
  </si>
  <si>
    <t>Master en PHP, SQL, POO, MVC, Laravel, Symfony, WordPress +</t>
  </si>
  <si>
    <t>Crea una ASP NET Core Web API básica desde una base de datos</t>
  </si>
  <si>
    <t>React Avanzado: Fullstack Next.js, Apollo, MongoDB y GraphQL</t>
  </si>
  <si>
    <t>JavaScript: ECMAScript 6 y todos sus detalles</t>
  </si>
  <si>
    <t>Bootstrap 4: El Curso Completo, Práctico y Desde Cero</t>
  </si>
  <si>
    <t>Curso Práctico de Django: Aprende Creando 3 Webs</t>
  </si>
  <si>
    <t>CSS Grid y Flexbox, La Guía Definitiva, Crea + 10 Proyectos</t>
  </si>
  <si>
    <t>Master en Frameworks JavaScript: Aprende Angular, React, Vue</t>
  </si>
  <si>
    <t>Angular con DevOps, TDD, Pruebas Unitarias, Pipelines, Azure</t>
  </si>
  <si>
    <t>Jhonatan Plata</t>
  </si>
  <si>
    <t>Angular: El mejor curso de Angular. De Cero a Experto!</t>
  </si>
  <si>
    <t>Curso Java SE, Java EE con MySQL - De básico hasta avanzado</t>
  </si>
  <si>
    <t>Node.js - Bootcamp Desarrollo Web inc. MVC y REST APIs</t>
  </si>
  <si>
    <t>Aprende Angular (8/9/10) desde 0 con 10 proyectos completos</t>
  </si>
  <si>
    <t>Web Personal MERN Full Stack: MongoDB, Express, React y Node</t>
  </si>
  <si>
    <t>JPA Avanzado: Uso profesional de JPA con Hibernate</t>
  </si>
  <si>
    <t>Aprender React JS</t>
  </si>
  <si>
    <t>Miguel Ángel Durán García</t>
  </si>
  <si>
    <t>Angular: Aplicaciones en tiempo real con sockets y rest</t>
  </si>
  <si>
    <t>MVC Net Core 3 y 2.2. La Guía Inicial</t>
  </si>
  <si>
    <t>Jimmy Javier</t>
  </si>
  <si>
    <t>Introducción a Spring Web MVC 5.0 con Spring Boot</t>
  </si>
  <si>
    <t>Aprende Redux con React hooks y GraphQL fácilmente</t>
  </si>
  <si>
    <t>Héctor Bliss</t>
  </si>
  <si>
    <t>Desarrollo web con JavaScript, Angular, NodeJS y MongoDB</t>
  </si>
  <si>
    <t>Componentes en Angular - nivel PRO (Angular 2/4/5/6/7+)</t>
  </si>
  <si>
    <t>Enrique Oriol</t>
  </si>
  <si>
    <t>Diseño Web Profesional y Completo con HTML5 CSS3 y BOOTSTRAP</t>
  </si>
  <si>
    <t>Carlos Valdes</t>
  </si>
  <si>
    <t>Máster en Web Services con C#</t>
  </si>
  <si>
    <t>Michael Rodríguez</t>
  </si>
  <si>
    <t>Creación de Tiendas Online: Fácil, Completo y desde Cero</t>
  </si>
  <si>
    <t>React JS Hooks: De Cero a Experto Creado Aplicaciones Reales</t>
  </si>
  <si>
    <t>Desarrollo de Tiendas Virtuales con WordPress y WooCommerce</t>
  </si>
  <si>
    <t>Java a Profundidad. JEE, MVC, JPA, RegEX, Generics y más</t>
  </si>
  <si>
    <t>Bootstrap 4 !De 0 a Experto! Curso completo + Forms con PHP</t>
  </si>
  <si>
    <t>AngularJS - Desde Hola Mundo hasta una Aplicación (legacy)</t>
  </si>
  <si>
    <t>Conviértete en un Desarrollador Web desde cero Paso a Paso</t>
  </si>
  <si>
    <t>Gilbert Rodríguez</t>
  </si>
  <si>
    <t>Máster en JavaScript: ECMAScript, Angular 9+, React, NodeJS</t>
  </si>
  <si>
    <t>Curso de Vue JS 2 en Español</t>
  </si>
  <si>
    <t>Jonathan Cifuentes</t>
  </si>
  <si>
    <t>Crea Sistemas Marketplace con Angular y Firebase Database</t>
  </si>
  <si>
    <t>API RESTful con Laravel: Guía Definitiva</t>
  </si>
  <si>
    <t>JuanD MeGon</t>
  </si>
  <si>
    <t>Wordpress: Crea una página web PASO a PASO desde cero 2020</t>
  </si>
  <si>
    <t>Oscar Peña</t>
  </si>
  <si>
    <t>Curso de Angular Avanzado: MEAN, JWT, Módulos, Animaciones</t>
  </si>
  <si>
    <t>Diseño y Desarrollo Web con Bootstrap 4 Incluye 8 Proyectos</t>
  </si>
  <si>
    <t>Java Masterclass: De cero a Heroe en tiempo record</t>
  </si>
  <si>
    <t>Guía completa de GraphQL con Angular de 0 a Experto.</t>
  </si>
  <si>
    <t>Anartz Mugika Ledo</t>
  </si>
  <si>
    <t>Laravel 7 - Crea Aplicaciones y Sitios Web con PHP y MVC</t>
  </si>
  <si>
    <t>Desarrollo Profesional de Temas y Plugins de WordPress</t>
  </si>
  <si>
    <t>Creando Tienda Online con Wordpress y WooCommerce desde cero</t>
  </si>
  <si>
    <t>Curso de Diseño Web: HTML y CSS desde cero hasta avanzado.</t>
  </si>
  <si>
    <t>Orlando José-Rivera</t>
  </si>
  <si>
    <t>jQuery: De cero a avanzado mediante ejercicios prácticos.</t>
  </si>
  <si>
    <t>Universidad Java 2: Spring, Hibernate, Struts y más (2020)!</t>
  </si>
  <si>
    <t>Master en webs Full Stack: Angular, Node, Laravel, Symfony +</t>
  </si>
  <si>
    <t>Introducción a Oracle APEX 5.0</t>
  </si>
  <si>
    <t>Clarisa Maman Orfali</t>
  </si>
  <si>
    <t>Angular 4: Conviértete en Desarrollador Web Full Stack</t>
  </si>
  <si>
    <t>Pedro Jiménez</t>
  </si>
  <si>
    <t>Desarrollo Full Stack MEVN: MongoDB, Express, VueJS y NodeJS</t>
  </si>
  <si>
    <t>Sistema de Compra y Facturación con Python usando Django</t>
  </si>
  <si>
    <t>Daniel Ernesto Bojorge Sequeira</t>
  </si>
  <si>
    <t>Laravel 6 a 8 desde cero + integración con Bootstrap 4 y Vue</t>
  </si>
  <si>
    <t>Andrés Cruz Yoris</t>
  </si>
  <si>
    <t>Máster en PHP 7+, POO, MVC, MySQL, Laravel 6+, CodeIgniter 4</t>
  </si>
  <si>
    <t>Curso Completo Ruby -  Desde las Bases hasta Rails</t>
  </si>
  <si>
    <t>Desarrollo Web Spring Framework 4.3 &amp; Hibernate</t>
  </si>
  <si>
    <t>Crea sistemas POS Inventarios y ventas con PHP 7 y AdminLTE</t>
  </si>
  <si>
    <t>Crea sistemas Ecommerce con PHP 7 con pagos de PAYPAL y PAYU</t>
  </si>
  <si>
    <t>Curso de Desarrollo Web Completo 2.0</t>
  </si>
  <si>
    <t>Desarrollo de sistemas web en PHP 7 POO, MySQL, Jquery Ajax</t>
  </si>
  <si>
    <t>Experto en Bootstrap 4 en 7 días (Crea un sitio web real)</t>
  </si>
  <si>
    <t>Desarrollo Web con Spring 4</t>
  </si>
  <si>
    <t>Abraham Ramirez</t>
  </si>
  <si>
    <t>Angular y NodeJS en producción - Configurar un servidor VPS</t>
  </si>
  <si>
    <t>Desarrollar una red social con JavaScript, Angular y NodeJS</t>
  </si>
  <si>
    <t>Curso de Laravel desde cero + APIs RESTful y webs Angular</t>
  </si>
  <si>
    <t>Proyecto Java Web  JSP, Servlet con MySQL desde NetBeans IDE</t>
  </si>
  <si>
    <t>Christian Gámez</t>
  </si>
  <si>
    <t>Desarrollo web en Google Web Toolkit - GWT</t>
  </si>
  <si>
    <t>Vuejs 2 y Vuex desde 0 con las mejores prácticas</t>
  </si>
  <si>
    <t>Curso de FlexBox desde 0</t>
  </si>
  <si>
    <t>Desarrollo de módulos Drupal 8 y actualizado a Drupal 9</t>
  </si>
  <si>
    <t>Jhonatan Fernández</t>
  </si>
  <si>
    <t>VUE JS 2 - Una Introducción a las Web Apps</t>
  </si>
  <si>
    <t>Daniel Fernandez Velazquez</t>
  </si>
  <si>
    <t>Diseñador Web Profesional. De Intermedio a Experto [2020]</t>
  </si>
  <si>
    <t>Jonathan Lifschitz</t>
  </si>
  <si>
    <t>Desarrollo Web, de novato a experto</t>
  </si>
  <si>
    <t>jQuery Avanzado - 100 trucos profesionales</t>
  </si>
  <si>
    <t>Patrones de diseño en Javascript y Node.JS</t>
  </si>
  <si>
    <t>Creando Restful services PHP-MYSQL (Codeigniter 3)</t>
  </si>
  <si>
    <t>Curso de NodeJS y Angular - Crea webapps con el MEAN Stack</t>
  </si>
  <si>
    <t>Desarrollo Web con Vue js 2, PHP 7 y MariaDB</t>
  </si>
  <si>
    <t>Curso completo: aprende HTML, CSS y JS desde cero con JB</t>
  </si>
  <si>
    <t>Máster en Front-End: Crea Temas para WordPress, PHP, Angular</t>
  </si>
  <si>
    <t>Procesa pagos con Laravel y las mejores plataformas de pagos</t>
  </si>
  <si>
    <t>Crea Sistemas Marketplace con PHP7 y bases de datos MySQL</t>
  </si>
  <si>
    <t>Aprende jQuery desde cero</t>
  </si>
  <si>
    <t>Desarrollar una red social con PHP, Symfony3, jQuery y AJAX</t>
  </si>
  <si>
    <t>Crea Aplicaciones Java Web. Completísimo y Desde Cero!</t>
  </si>
  <si>
    <t>Desarrollo de Temas de WordPress con Bootstrap 4 y CMB2</t>
  </si>
  <si>
    <t>Desarrolla Sistemas en Visual Basic.Net, 4 capas, SQL Server</t>
  </si>
  <si>
    <t>Crea sistemas de Reservas y Alquiler con PHP 7 y MercadoPago</t>
  </si>
  <si>
    <t>Crea sistemas de ventas por suscripción y MLM con PHP-PayPal</t>
  </si>
  <si>
    <t>Diseño Web Responsive con Foundation for Sites SASS y XYGrid</t>
  </si>
  <si>
    <t>Microservicios Lumen: Crea tus servicios y APIs con Lumen</t>
  </si>
  <si>
    <t>Crea Página Web y Tienda Virtual sin saber Programar. 2020.</t>
  </si>
  <si>
    <t>Crea páginas web responsive con Bootstrap 3</t>
  </si>
  <si>
    <t>WordPress Avanzado Bloques Gutenberg Post Types y Taxonomías</t>
  </si>
  <si>
    <t>El curso Profesional de WordPress más completo y actualizado</t>
  </si>
  <si>
    <t>Joan Artés</t>
  </si>
  <si>
    <t>Laravel y OAuth 2: Login con Facebook, Twitter, Google+, etc</t>
  </si>
  <si>
    <t>Máster en CodeIgniter 3 con Bootstrap 4 y Vue - Desde Cero</t>
  </si>
  <si>
    <t>Aprende a crear Plugins para WordPress desde cero a Avanzado</t>
  </si>
  <si>
    <t>Desarrollo web en PHP con Laravel 5.6, VueJS y MariaDB Mysql</t>
  </si>
  <si>
    <t>Máster en API RESTful con PHP 7+, Laravel 6+, CodeIgniter 4+</t>
  </si>
  <si>
    <t>Microservicios con ASP.NET Core,Docker y RabbitMQ</t>
  </si>
  <si>
    <t>React: Aplicaciones en tiempo real con Socket-io</t>
  </si>
  <si>
    <t>Aprende Laravel y desarrolla una app de pedidos en línea</t>
  </si>
  <si>
    <t>Desarrolla una plataforma de cursos Online con Laravel 5.6</t>
  </si>
  <si>
    <t>Trabajando con datos en la Web</t>
  </si>
  <si>
    <t>Realtime Messenger usando Laravel, Vue, Bootstrap 4 y Pusher</t>
  </si>
  <si>
    <t>Creando Web APIs Profesionales con .NET Core 3 y 2.2</t>
  </si>
  <si>
    <t>JavaScript y ES6: Lo último en JS con Proyectos Reales</t>
  </si>
  <si>
    <t>Master en ASP.NET Core 3.1 y 5 MVC - Entity Framework</t>
  </si>
  <si>
    <t>render2web Tus Recursos Diseño, Desarrollo, Web y 3D</t>
  </si>
  <si>
    <t>Tienda Online: NodeJS + MongoDB + Stripe + GraphQL - MEAN+G</t>
  </si>
  <si>
    <t>Desarrollo de Plugins para WordPress con PHP, JS, CSS y HTML</t>
  </si>
  <si>
    <t>Curso de Apps Web Progresivas PWA y Responsive + Angular PWA</t>
  </si>
  <si>
    <t>Desarrollo Web con Python usando Django  para Principiantes</t>
  </si>
  <si>
    <t>RxJS nivel PRO</t>
  </si>
  <si>
    <t>Angular y Java EE - Conviértete en Java Full Stack Developer</t>
  </si>
  <si>
    <t>Electron JS y React JS: Creando un Spotify</t>
  </si>
  <si>
    <t>MASTER EN PHP 7 2020! CON MYSQL Y MUCHO MAS! TRAILER AQUI.</t>
  </si>
  <si>
    <t>Domina Laravel y Crea Aplicaciones de Alto Nivel con Laravel</t>
  </si>
  <si>
    <t>Contabilidad rápida y eficaz</t>
  </si>
  <si>
    <t>Joel Silvera</t>
  </si>
  <si>
    <t>Excel Contable - Curso Profesional</t>
  </si>
  <si>
    <t>Excel365 Academia</t>
  </si>
  <si>
    <t>Contabilidad Financiera para todos.</t>
  </si>
  <si>
    <t>Isabelle O.A.</t>
  </si>
  <si>
    <t>Finanzas Basicas: Aprende usando Excel</t>
  </si>
  <si>
    <t>Eduardo Aponte R.</t>
  </si>
  <si>
    <t>Impuestos para Personas Físicas con Declaración anual</t>
  </si>
  <si>
    <t>Inteligencia y Consultoría PyME S.C.</t>
  </si>
  <si>
    <t>Introducción a las Finanzas</t>
  </si>
  <si>
    <t>Alexander Hortua</t>
  </si>
  <si>
    <t>Análisis financiero corporativo</t>
  </si>
  <si>
    <t>Expertise | Finance Education</t>
  </si>
  <si>
    <t>Finanzas y Análisis Financiero: Manejo Seguro de Negocios</t>
  </si>
  <si>
    <t>Pepe Villacis</t>
  </si>
  <si>
    <t>Excel Aplicado al Análisis Financiero</t>
  </si>
  <si>
    <t>Inversión en Acciones y Bolsa de Valores (De 0 a Avanzado)</t>
  </si>
  <si>
    <t>Mtro. Manolo G. del Lago de los Business</t>
  </si>
  <si>
    <t>Invertir en Bolsa: Introducción al Análisis Técnico</t>
  </si>
  <si>
    <t>Academy For Traders</t>
  </si>
  <si>
    <t>Bitcoin: Aprenda a usar, recibir, enviar, comprar y vender.</t>
  </si>
  <si>
    <t>Curso completo de renta variable</t>
  </si>
  <si>
    <t>Lualobus PhD</t>
  </si>
  <si>
    <t>Curso inicial en Criptomonedas y trading: Bitcoin ETH TRX</t>
  </si>
  <si>
    <t>Invertir en [ FOREX] y ACCIONES EEUU - 0 a Experto (16hs)</t>
  </si>
  <si>
    <t>Cristian Guereñu</t>
  </si>
  <si>
    <t>Trading con Ondas de Elliott</t>
  </si>
  <si>
    <t>Blockchain: Comprende Bitcoin y desarrolla tu Criptomoneda</t>
  </si>
  <si>
    <t>Javi Jiménez</t>
  </si>
  <si>
    <t>Curso completo de Bitcoin, la era Blockchain ha llegado.</t>
  </si>
  <si>
    <t>Alberto Susin</t>
  </si>
  <si>
    <t>BIM para empresas. Introducción a la Metodología BIM</t>
  </si>
  <si>
    <t>Oracle: Administración de Base de Datos</t>
  </si>
  <si>
    <t>Aprende Microsoft Access a fondo</t>
  </si>
  <si>
    <t>Juan Carlos Guerrero Pérez</t>
  </si>
  <si>
    <t>Design Thinking | De Cero a MAESTRO</t>
  </si>
  <si>
    <t>MASTER EN ARDUINO 2020 ¡INCLUYE IoT! INTERNET OF THINGS!</t>
  </si>
  <si>
    <t>Curso de Reparación de Computadoras Desde Cero</t>
  </si>
  <si>
    <t>Allan Montero</t>
  </si>
  <si>
    <t>Internet de las Cosas: una introducción al mundo conectado</t>
  </si>
  <si>
    <t>IOT MASTERCLASS 2020! Preparándonos para la gran revolución!</t>
  </si>
  <si>
    <t>Mantenimiento y Reparación de Equipos de Computo Desde Cero</t>
  </si>
  <si>
    <t>John Álvarez</t>
  </si>
  <si>
    <t>Masterclass Arduino, Electrónica y Programación desde cero</t>
  </si>
  <si>
    <t>Konrad Peschka</t>
  </si>
  <si>
    <t>Amazon AWS: Curso Completo Arquitecto Soluciones Certificado</t>
  </si>
  <si>
    <t>Mapa de Historias de Usuario - Taller de User Story Mapping</t>
  </si>
  <si>
    <t>Ignacio Paz</t>
  </si>
  <si>
    <t>Cisco CCNA Fundamentos de Networking para Redes IP</t>
  </si>
  <si>
    <t>Josep Ricart</t>
  </si>
  <si>
    <t>Certificación LPIC-1: Administrador de Linux. EXAMEN 101</t>
  </si>
  <si>
    <t>Antonio Sánchez Corbalán</t>
  </si>
  <si>
    <t>✔ Administración de Office 365</t>
  </si>
  <si>
    <t>Curso Programador Java Certificado I</t>
  </si>
  <si>
    <t>Antonio Martín Sierra</t>
  </si>
  <si>
    <t>Administración de Base de Datos Con SQL Server 70-764</t>
  </si>
  <si>
    <t>System Center Configuration Manager MECM SCCM Current Branch</t>
  </si>
  <si>
    <t>Carlos Melantuche</t>
  </si>
  <si>
    <t>Zabbix - De Principiante a Experto</t>
  </si>
  <si>
    <t>Fidel Valero</t>
  </si>
  <si>
    <t>Cisco CCNA 200-125 en Español: Certificate Ya!</t>
  </si>
  <si>
    <t>Arturo Gonzalez Garcia</t>
  </si>
  <si>
    <t>Microsoft Excel: Curso para la Certificación Oficial 77-420</t>
  </si>
  <si>
    <t>Felipe Ramírez, PhD.</t>
  </si>
  <si>
    <t>Entrenamiento para la Certificación de Red Hat RHCSA</t>
  </si>
  <si>
    <t>Cisco Curso de direccionamiento IP y Subnetting - CCNA</t>
  </si>
  <si>
    <t>Certificate en Linux LPIC-1.Aprende linux desde 0 a Experto.</t>
  </si>
  <si>
    <t>Cisco CCNA 200-301 - Practicas de configuracion en español</t>
  </si>
  <si>
    <t>Manuel Sepulveda</t>
  </si>
  <si>
    <t>Certificación LPIC-1: Administrador de Linux. EXAMEN 102</t>
  </si>
  <si>
    <t>Desarrollo de bases de datos con SQL Server - 70-762</t>
  </si>
  <si>
    <t>CCNP SWITCH 300-115 en Español</t>
  </si>
  <si>
    <t>German Hernandez</t>
  </si>
  <si>
    <t>Entrenamiento para la Certificación de Red Hat RHCE</t>
  </si>
  <si>
    <t>Camino a la Certificación - Reloaded</t>
  </si>
  <si>
    <t>Scrum Product Owner: Simulador &amp; Material de Estudio</t>
  </si>
  <si>
    <t>IT Cert</t>
  </si>
  <si>
    <t>SQL Server Integration Services (SSIS) desde 0 hasta Experto</t>
  </si>
  <si>
    <t>Cristian Donayre</t>
  </si>
  <si>
    <t>Cisco CCNA 200-301 en Español + Simulador de Preguntas !</t>
  </si>
  <si>
    <t>Curso Completo de Hacking Ético</t>
  </si>
  <si>
    <t>Eduardo Arriols Nuñez</t>
  </si>
  <si>
    <t>Máster en Seguridad Informática. De 0 a Experto . Año 2020.</t>
  </si>
  <si>
    <t>Academia AC</t>
  </si>
  <si>
    <t>Universidad Hacking. Todo en Ciberseguridad. De 0 a Experto.</t>
  </si>
  <si>
    <t>Universidad Hacking</t>
  </si>
  <si>
    <t>Hacking Ético Profesional - Fundamentos</t>
  </si>
  <si>
    <t>Diego Hernán Barrientos</t>
  </si>
  <si>
    <t>Aprende Redes desde Cero: Curso Completo</t>
  </si>
  <si>
    <t>Luis O. Barbosa</t>
  </si>
  <si>
    <t>Hiperconvergencia con Nutanix: instalación y configuración</t>
  </si>
  <si>
    <t>Leandro Ariel Leonhardt</t>
  </si>
  <si>
    <t>Ciberseguridad Ofensiva: Hacking y Pentesting con PowerShell</t>
  </si>
  <si>
    <t>OpenLearning España</t>
  </si>
  <si>
    <t>Servicios de Dominio de Active Directory de cero a EXPERTO</t>
  </si>
  <si>
    <t>Aprenda Hacking Web y Pentesting</t>
  </si>
  <si>
    <t>Víctor García</t>
  </si>
  <si>
    <t>Hacking con Metasploit desde cero</t>
  </si>
  <si>
    <t>Seguridad Informática: Hacking con Python Recargado.Año 2020</t>
  </si>
  <si>
    <t>Hacking Ético Profesional - Hackeo mediante Google</t>
  </si>
  <si>
    <t>Forense Informático - Quien, Cómo y cuando</t>
  </si>
  <si>
    <t>Redes en Microsoft Azure (2018)</t>
  </si>
  <si>
    <t>Pentesting en Seguridad Informática. Detecta, Defiende 2020.</t>
  </si>
  <si>
    <t>Ingeniería Social y ataques sin tecnología</t>
  </si>
  <si>
    <t>Seguridad en redes WiFi, Detección y Expulsión de Hackers</t>
  </si>
  <si>
    <t>Forense Informático Avanzado RFC - Bajo entornos Windows</t>
  </si>
  <si>
    <t>Pfsense Firewall Fundamentals en Español</t>
  </si>
  <si>
    <t>Juan José Pérez Figuereo</t>
  </si>
  <si>
    <t>VPS Seguro en Ubuntu 18.04 con Letsencrypt Nginx PHP y MySQL</t>
  </si>
  <si>
    <t>Redes de datos y detección de fallas</t>
  </si>
  <si>
    <t>Creador de Licencias para Software en C#</t>
  </si>
  <si>
    <t>Hacking Ético Profesional - Reconocimiento de Objetivos</t>
  </si>
  <si>
    <t>Hacking Ético Profesional - Ingreso al Sistema</t>
  </si>
  <si>
    <t>Hacking Ético Profesional - Redes y Escaneo de Objetivos</t>
  </si>
  <si>
    <t>Curso de redes en Microsoft Azure (2020)</t>
  </si>
  <si>
    <t>Curso Mikrotik - Laboratorios de un administrador</t>
  </si>
  <si>
    <t>Cano Academy</t>
  </si>
  <si>
    <t>Kali Linux. Seguridad Informática. Pentesting. Hacking. 2020</t>
  </si>
  <si>
    <t>Iptables: Teoría y práctica para montar un firewall Linux</t>
  </si>
  <si>
    <t>Diego Córdoba</t>
  </si>
  <si>
    <t>Seguridad Informática. Prácticas en Kali Linux. Retos CTF.-</t>
  </si>
  <si>
    <t>CCNA 200-301</t>
  </si>
  <si>
    <t>Jesus Espinoza</t>
  </si>
  <si>
    <t>Como configurar una red de datos desde Cero de forma fácil</t>
  </si>
  <si>
    <t>Espionaje Digital Avanzado. Metodologías y Herramientas.</t>
  </si>
  <si>
    <t>Seguridad Informática- Ingeniería social: El arte del engaño</t>
  </si>
  <si>
    <t>Experto en WIRESHARK</t>
  </si>
  <si>
    <t>Yacha Academia</t>
  </si>
  <si>
    <t>Ataques al Registro y métodos de inicio de malware [Windows]</t>
  </si>
  <si>
    <t>Openshift 4 desde cero</t>
  </si>
  <si>
    <t>Comandos de Linux: desde cero hasta programar Shell Script</t>
  </si>
  <si>
    <t>Aprende Sql Server nivel básico - avanzado ! (Actualizado)</t>
  </si>
  <si>
    <t>Ivan David Suarez Ruiz</t>
  </si>
  <si>
    <t>Curso completo VMware vSphere 6.7 de principiante a avanzado</t>
  </si>
  <si>
    <t>Curso de Linux: todo lo necesario para ser administrador</t>
  </si>
  <si>
    <t>Bash - Intérprete de Comandos de Linux. Aprende desde cero</t>
  </si>
  <si>
    <t>Instalación y configuración de Windows Server 2016 / 2019</t>
  </si>
  <si>
    <t>Aprende Linux desde lo básico a shell script</t>
  </si>
  <si>
    <t>Administración de Aplicaciones JBoss I</t>
  </si>
  <si>
    <t>Introducción a la administración con Windows PowerShell</t>
  </si>
  <si>
    <t>Curso de Mainframe completo, z/OS, desde 0</t>
  </si>
  <si>
    <t>Enrique Gonzalez Plaza</t>
  </si>
  <si>
    <t>Administración de Active Directory con Windows PowerShell</t>
  </si>
  <si>
    <t>Instalación y Configuración de Windows Server 2012 R2.</t>
  </si>
  <si>
    <t>Administración y Configuración de SCCM 2016</t>
  </si>
  <si>
    <t>Shell Bash de Linux: Comandos para el manejo de texto</t>
  </si>
  <si>
    <t>Curso de GNU/Linux con CentOS y Debian (I - Gestión y Admin)</t>
  </si>
  <si>
    <t>Frank Harbey Sanabria Florez</t>
  </si>
  <si>
    <t>Curso de Servidores Linux en CENTOS para principiantes</t>
  </si>
  <si>
    <t>Administrador de Sistemas Junior en Windows Server y Linux</t>
  </si>
  <si>
    <t>SQL Server: Programando Procedimientos, Triggers y funciones</t>
  </si>
  <si>
    <t>Implementando y administrando Hyper-V en Windows Server 2016</t>
  </si>
  <si>
    <t>Asterisk con FreePBX, telefonía VoIP desde cero</t>
  </si>
  <si>
    <t>José María Bea</t>
  </si>
  <si>
    <t>Optimización de Consultas con Sql Server 2008-2019</t>
  </si>
  <si>
    <t>Instalación y configuración de Exchange Server 2016</t>
  </si>
  <si>
    <t>Victor Burgos</t>
  </si>
  <si>
    <t>Curso de programación C# SQL SERVER para principiantes</t>
  </si>
  <si>
    <t>Lcdo.Eddy Quintero</t>
  </si>
  <si>
    <t>Servidor de Pruebas Linux para ambientes de Desarrollo Web.</t>
  </si>
  <si>
    <t>Carlos Pérez</t>
  </si>
  <si>
    <t>Implementación de Servidores con Centos Linux (Módulo I)</t>
  </si>
  <si>
    <t>Juan Carlos Guzmán Contreras</t>
  </si>
  <si>
    <t>Programación Panel View Plus desde cero</t>
  </si>
  <si>
    <t>Luis Cruz</t>
  </si>
  <si>
    <t>Comunicación - Fundamentos de Liderazgo 1</t>
  </si>
  <si>
    <t>Jack Raifer</t>
  </si>
  <si>
    <t>Secretos de las Presentaciones Efectivas : Storytelling</t>
  </si>
  <si>
    <t>Olga Alfonso</t>
  </si>
  <si>
    <t>Comunicación Efectiva y Asertiva</t>
  </si>
  <si>
    <t>Dr. Alfonso Aguilar</t>
  </si>
  <si>
    <t>Comunicación para Líderes, Managers e Influenciadores</t>
  </si>
  <si>
    <t>Global Impact</t>
  </si>
  <si>
    <t>Convence a tus clientes con presentaciones eficaces 100%</t>
  </si>
  <si>
    <t>Javier Chico</t>
  </si>
  <si>
    <t>Secretos de Oratoria de un ex-CEO/El curso mejor calificado</t>
  </si>
  <si>
    <t>Gráfico y Simple</t>
  </si>
  <si>
    <t>Aprende a solucionar conflictos y discrepencias</t>
  </si>
  <si>
    <t>Carmen Ojeda</t>
  </si>
  <si>
    <t>Cómo presentar, ganarte a tu audiencia y ¡convencer!</t>
  </si>
  <si>
    <t>mecenium Editorial de formación online</t>
  </si>
  <si>
    <t>Máster en Oratoria: Convence y Enamora al Hablar en Público.</t>
  </si>
  <si>
    <t>N.C. Kurt</t>
  </si>
  <si>
    <t>13 pasos para hablar en público (13 PASOS)</t>
  </si>
  <si>
    <t>YPD Young Potential Development</t>
  </si>
  <si>
    <t>Habilidades Comunicativas (Guía Completa)</t>
  </si>
  <si>
    <t>Antonio Santos</t>
  </si>
  <si>
    <t>Como Tener Buena Voz: El Secreto De Los Profesionales</t>
  </si>
  <si>
    <t>Mauro Martinez</t>
  </si>
  <si>
    <t>Comunicación Intercultural</t>
  </si>
  <si>
    <t>David Bejarano</t>
  </si>
  <si>
    <t>Neuro Oratoria: Hablar en Público Científicamente</t>
  </si>
  <si>
    <t>Curso Completo de Marca Personal: Lidera e Inspira</t>
  </si>
  <si>
    <t>Conviértete en un excelente comunicador en público</t>
  </si>
  <si>
    <t>Hi VIP</t>
  </si>
  <si>
    <t>Comunicador@ Superestrella</t>
  </si>
  <si>
    <t>Negociación Creativa - El Modelo de Negociación de Harvard</t>
  </si>
  <si>
    <t>Curso de TJ Walker sobre hablar en público de 1 hora</t>
  </si>
  <si>
    <t>Aprende a escribir los 20 tipos de textos básicos fácilmente</t>
  </si>
  <si>
    <t>Claudia Ruiz</t>
  </si>
  <si>
    <t>Negocia como experto</t>
  </si>
  <si>
    <t>Ricardo Díaz G.</t>
  </si>
  <si>
    <t>El Arte del Relato</t>
  </si>
  <si>
    <t>Fabián Ramella</t>
  </si>
  <si>
    <t>Comunicación Avanzada: Escucha Activa, Empatía y Asertividad</t>
  </si>
  <si>
    <t>Liderazgo y Gestión de equipos | Certificación 2020</t>
  </si>
  <si>
    <t>Ceci Mansilla</t>
  </si>
  <si>
    <t>Administración del Tiempo - Fundamentos de Liderazgo 2</t>
  </si>
  <si>
    <t>Master en Inteligencia Emocional y Soft Skills YPD</t>
  </si>
  <si>
    <t>Inteligencia emocional y su efecto en tus destrezas sociales</t>
  </si>
  <si>
    <t>Influencia y Negociación - Fundamentos de Liderazgo 3</t>
  </si>
  <si>
    <t>Aprende a dirigir a tu equipo, con 4 conversaciones</t>
  </si>
  <si>
    <t>Alejandro Hernández Seijo</t>
  </si>
  <si>
    <t>Competencias Básicas para Desarrollar un Liderazgo Efectivo</t>
  </si>
  <si>
    <t>I.G.E. Leadership College, Manuel Echeverría</t>
  </si>
  <si>
    <t>Liderazgo 2020. Mejores prácticas</t>
  </si>
  <si>
    <t>María Gil</t>
  </si>
  <si>
    <t>Empoderamiento y Delegación - Fundamentos de Liderazgo 4</t>
  </si>
  <si>
    <t>Liderazgo: Gerencia en Tecnología / Ingeniería 2020</t>
  </si>
  <si>
    <t>Oswaldo Alvarez</t>
  </si>
  <si>
    <t>PNL para Líderes, Managers y Formadores</t>
  </si>
  <si>
    <t>Organiza a tu equipo y haz que sea más productivo y eficaz</t>
  </si>
  <si>
    <t>Margarita Álvarez</t>
  </si>
  <si>
    <t>Liderazgo Aumenta tu Nivel de Influencia Poder y Autoridad</t>
  </si>
  <si>
    <t>Liderazgo Sensorial - Un Nuevo Modelo de Liderazgo Integral</t>
  </si>
  <si>
    <t>Master en Liderazgo</t>
  </si>
  <si>
    <t>Funvirisa Academia</t>
  </si>
  <si>
    <t>Como implementar SCRUM y XP en tu empresa o proyecto</t>
  </si>
  <si>
    <t>Incoterms®: El lenguaje del Comercio Internacional</t>
  </si>
  <si>
    <t>Maicol Gutierrez Chilo</t>
  </si>
  <si>
    <t>Innovación Destilada: de la Creatividad a los Resultados</t>
  </si>
  <si>
    <t>Alejandro Rios</t>
  </si>
  <si>
    <t>Transformación Digital para Empresas y Profesionales.</t>
  </si>
  <si>
    <t>Nestor Guerra</t>
  </si>
  <si>
    <t>Cómo provocar cambios positivos en la organización</t>
  </si>
  <si>
    <t>Guillermo Camino</t>
  </si>
  <si>
    <t>Cognotécnicas: Herramientas para pensar más y mejor</t>
  </si>
  <si>
    <t>Estrategia de Negocio : Conviértete en Consultor Estratégico</t>
  </si>
  <si>
    <t>Business Training Solutions</t>
  </si>
  <si>
    <t>Programa de Lanzamiento de tu Startup</t>
  </si>
  <si>
    <t>Design Thinking - Remoto  | 2020</t>
  </si>
  <si>
    <t>Mauricio Paegelow</t>
  </si>
  <si>
    <t>Cómo emprender y reducir el riesgo de fracasar</t>
  </si>
  <si>
    <t>BP Coaching</t>
  </si>
  <si>
    <t>7 Secretos de un CEO para tu nuevo puesto</t>
  </si>
  <si>
    <t>Programa de Lanzamiento de tu Startup: Lean Analytics.</t>
  </si>
  <si>
    <t>Gamificación para Empresas (actualizado abril 2020)</t>
  </si>
  <si>
    <t>Neftalí Claros Carretero</t>
  </si>
  <si>
    <t>Masterclass en Innovación y Organizaciones Exponenciales</t>
  </si>
  <si>
    <t>Francisco Palao</t>
  </si>
  <si>
    <t>MBA Completo en 1 Curso: Profesor de Negocios Premiado</t>
  </si>
  <si>
    <t>Copywriting para negocios online</t>
  </si>
  <si>
    <t>Isabel romero</t>
  </si>
  <si>
    <t>Marketing de contenidos. Estrategias para tus redes sociales</t>
  </si>
  <si>
    <t>Curso Completo de Email Marketing para Negocios y Personas</t>
  </si>
  <si>
    <t>Daniel Alejandro</t>
  </si>
  <si>
    <t>MailChimp: Email Marketing Desde Cero Para Negocios</t>
  </si>
  <si>
    <t>Mario Arturo De La Peña Maldonado</t>
  </si>
  <si>
    <t>Guía completa para ser un profesional del e-mail marketing</t>
  </si>
  <si>
    <t>Sergio Leandro Castro</t>
  </si>
  <si>
    <t>Curso Completo de Email Marketing (ACTUALIZADO 2020)</t>
  </si>
  <si>
    <t>Blast Marketing</t>
  </si>
  <si>
    <t>Marketing de Contenidos para Principiantes: La Guía Completa</t>
  </si>
  <si>
    <t>Curso Completo de Marketing Digital - 23 Cursos en 1</t>
  </si>
  <si>
    <t>Marketing Digital Completo: Desde Cero a Experto en el 2020</t>
  </si>
  <si>
    <t>Yersel Hurtado</t>
  </si>
  <si>
    <t>Branding y Neuromarketing digital, la ciencia de vender</t>
  </si>
  <si>
    <t>Nicolas Quindt</t>
  </si>
  <si>
    <t>Los Secretos del Marketing Digital en Redes Sociales. 2020.</t>
  </si>
  <si>
    <t>Máster de Marketing Digital - 12 cursos en 1</t>
  </si>
  <si>
    <t>Raúl Liñán</t>
  </si>
  <si>
    <t>PrestaShop 1.7: Crea tu Tienda Online de 0 a Experto!</t>
  </si>
  <si>
    <t>Growth Hacking con Marketing Digital</t>
  </si>
  <si>
    <t>Curso completo de Inbound Marketing con técnicas actuales</t>
  </si>
  <si>
    <t>Alejandro Serrano</t>
  </si>
  <si>
    <t>Crea una landing page EFECTIVA, gratuita y sin programar</t>
  </si>
  <si>
    <t>Luis Eduardo Amaya Uribe</t>
  </si>
  <si>
    <t>Aprende a vender el SISTEMA TDC</t>
  </si>
  <si>
    <t>Víctor Manuel sanchez</t>
  </si>
  <si>
    <t>Landing Pages y Embudos de Venta (ACTUALIZADO 2020)</t>
  </si>
  <si>
    <t>Cómo atraer clientes con Google Mi Negocio - 2020</t>
  </si>
  <si>
    <t>Crea Tu EMBUDO DE VENTAS Paso a Paso Y VENDE Por Internet</t>
  </si>
  <si>
    <t>Ivan Rojas</t>
  </si>
  <si>
    <t>Máster en Marketing Digital - Posiciona tu negocio en la web</t>
  </si>
  <si>
    <t>Analítica Web con Google Analytics</t>
  </si>
  <si>
    <t>Google Analytics, Curso completo con Profesor Certificado</t>
  </si>
  <si>
    <t>Nicolas Laczka</t>
  </si>
  <si>
    <t>Domina ACTIVECAMPAIGN Desde Cero Y AUTOMATIZA Tu Negocio</t>
  </si>
  <si>
    <t>Aprende a usar un CRM (Customer Relationship Management)</t>
  </si>
  <si>
    <t>Luis Font</t>
  </si>
  <si>
    <t>Estrategias de Marketing Digital en Base a Embudos de Venta</t>
  </si>
  <si>
    <t>Marketing de Afiliados: Como Generar Ingresos Pasivos Online</t>
  </si>
  <si>
    <t>Pablo Loson</t>
  </si>
  <si>
    <t>Marketing Jurídico: La Estrategia Comercial del Abogado</t>
  </si>
  <si>
    <t>Andrés Moreta</t>
  </si>
  <si>
    <t>Fundamentos  de Marketing: de Principiante a Experto.</t>
  </si>
  <si>
    <t>Facebook Ads 2020 : Domina el Marketing en Facebook</t>
  </si>
  <si>
    <t>Crea un Embudo de Ventas desde Cero para tu Negocio Digital</t>
  </si>
  <si>
    <t>Google Adwords para anunciarse con éxito (Actualizado 2017)</t>
  </si>
  <si>
    <t>Víctor Campuzano</t>
  </si>
  <si>
    <t>Curso de SEO y Posicionamiento en Google [ACTUALIZADO]</t>
  </si>
  <si>
    <t>Jorge Jaramillo</t>
  </si>
  <si>
    <t>GOOGLE ADS (Búsquedas SEM Adwords) Marketing Digital Desde 0</t>
  </si>
  <si>
    <t>Andres Brachetta ⭐⭐⭐⭐⭐</t>
  </si>
  <si>
    <t>Google Ads - Curso Completo Desde lo Básico Hasta Avanzado</t>
  </si>
  <si>
    <t>Miguel Maraby</t>
  </si>
  <si>
    <t>Curso de SEO y Posicionamiento web para Desarrolladores web</t>
  </si>
  <si>
    <t>SEO para Wordpress; guía completa de configuración</t>
  </si>
  <si>
    <t>Javier Cantero</t>
  </si>
  <si>
    <t>Curso Completo Google Ads (AdWords)-Actualizado 2020</t>
  </si>
  <si>
    <t>Facebook Marketing- Desde Principiante Hasta Avanzado</t>
  </si>
  <si>
    <t>SEO para WordPress - Curso Práctico de SEO usando WordPress</t>
  </si>
  <si>
    <t>CHATBOT ManyChat 2020: Embudo de VENTAS Facebook Messenger</t>
  </si>
  <si>
    <t>[A-Z] Google Tag Manager de básico a especialista de tags</t>
  </si>
  <si>
    <t>Marco Russo</t>
  </si>
  <si>
    <t>INSTAGRAM MARKETING: Curso Intensivo de Instagram</t>
  </si>
  <si>
    <t>Curso Completo de Instagram Marketing .</t>
  </si>
  <si>
    <t>10 Maneras de Crecer tu Instagram de forma Orgánica</t>
  </si>
  <si>
    <t>Linkedin 2020. Crea tu marca personal de éxito</t>
  </si>
  <si>
    <t>Facebook Ads ESTRATÉGICO 2020: Marketing Digital para VENDER</t>
  </si>
  <si>
    <t>INSTAGRAM: Trucos Prácticos para las Historias de Instagram</t>
  </si>
  <si>
    <t>Retargeting en Facebook : Potencia tus Ventas y Clientes</t>
  </si>
  <si>
    <t>Aprende a administrar Facebook para tu negocio desde 0%</t>
  </si>
  <si>
    <t>Daniela Godínez</t>
  </si>
  <si>
    <t>Domina los Grupos en Facebook : Crea tu tribu de seguidores</t>
  </si>
  <si>
    <t>Facebook Ads para Principiantes: Crea Anuncios en Facebook</t>
  </si>
  <si>
    <t>Google Ads para Principiantes</t>
  </si>
  <si>
    <t>Curso de Facebook Messenger ChatBot</t>
  </si>
  <si>
    <t>Páginas de Facebook: Crea una Facebook Page para tu negocio</t>
  </si>
  <si>
    <t>LinkedIn Marketing para Principiantes</t>
  </si>
  <si>
    <t>Twitter Marketing para principiantes</t>
  </si>
  <si>
    <t>Pinterest Marketing para Principiantes</t>
  </si>
  <si>
    <t>Curso para iniciar en YouTube y generar ingresos</t>
  </si>
  <si>
    <t>Eduardo Meza</t>
  </si>
  <si>
    <t>YouTube Masterclass - La Guía Completa de Youtube</t>
  </si>
  <si>
    <t>Gestiona tu Proyecto Scrum con Jira Agile</t>
  </si>
  <si>
    <t>Hector Bravo</t>
  </si>
  <si>
    <t>Dominando Moodle 2020: Aulas virtuales desde cero</t>
  </si>
  <si>
    <t>Richard Odon</t>
  </si>
  <si>
    <t>Aprende todo sobre Notion: 3 cursos en 1</t>
  </si>
  <si>
    <t>Jordi Leyva</t>
  </si>
  <si>
    <t>Computación Básica, desde cero</t>
  </si>
  <si>
    <t>José Sosa</t>
  </si>
  <si>
    <t>Curso completo de Windows 10 (desde cero)</t>
  </si>
  <si>
    <t>David Gutiérrez Verdura</t>
  </si>
  <si>
    <t>Aprende MacOS a Fondo</t>
  </si>
  <si>
    <t>Alexandre Pan</t>
  </si>
  <si>
    <t>Optimización de Almacenes, Inventarios y Stocks.</t>
  </si>
  <si>
    <t>Marco Canciani, M.Sc</t>
  </si>
  <si>
    <t>Introducción al PowerPoint 2013</t>
  </si>
  <si>
    <t>Mindic e-learning</t>
  </si>
  <si>
    <t>PowerPoint para desarrollo e-Learning</t>
  </si>
  <si>
    <t>Patricio Bustamante M.</t>
  </si>
  <si>
    <t>Gamificación de contenidos en Powerpoint 2020</t>
  </si>
  <si>
    <t>Gustavo Mendoza</t>
  </si>
  <si>
    <t>Excel Completo - Desde Principiante Hasta Avanzado</t>
  </si>
  <si>
    <t>Excel TOTAL - [2020] - VBA, Tablas Dinámicas, Dashboards y +</t>
  </si>
  <si>
    <t>Curso Excel y Power BI – Análisis y Visualización de Datos</t>
  </si>
  <si>
    <t>Macros y VBA: Programa, automatiza y amplía Microsoft Excel.</t>
  </si>
  <si>
    <t>David Asurmendi</t>
  </si>
  <si>
    <t>Tablas Dinámicas: Análisis de datos en Microsoft Excel.</t>
  </si>
  <si>
    <t>Comienza con Excel: Curso de Excel para Principiantes</t>
  </si>
  <si>
    <t>Microsoft Excel - Fórmulas y Funciones Avanzadas en Excel</t>
  </si>
  <si>
    <t>Maven Analytics</t>
  </si>
  <si>
    <t>Microsoft Excel - Visualización de Datos y Gráficos en Excel</t>
  </si>
  <si>
    <t>Tablas Dinámicas en Excel - Dashboards y Análisis de Datos</t>
  </si>
  <si>
    <t>Trucos y Atajos de Excel</t>
  </si>
  <si>
    <t>Tablas dinámicas y análisis de datos e hipótesis con Excel</t>
  </si>
  <si>
    <t>Daniel Burrueco</t>
  </si>
  <si>
    <t>Análisis en Microsoft Excel: Power Pivot, DAX y Power Query.</t>
  </si>
  <si>
    <t>El poder de Excel desde lo básico hasta el análisis de datos</t>
  </si>
  <si>
    <t>Master en Vba Excel (Desarrolla macros y crea aplicaciones).</t>
  </si>
  <si>
    <t>Alvaro Ospina</t>
  </si>
  <si>
    <t>Excel 2016 ¡Desde cero hasta experto!</t>
  </si>
  <si>
    <t>Excel - Tablas Dinámicas y PowerPivot</t>
  </si>
  <si>
    <t>Excel Masterclass: Nivel 2 - Avanzado</t>
  </si>
  <si>
    <t>Excel Completo: De Principiante hasta Avanzado + Certificado</t>
  </si>
  <si>
    <t>Alfonso Rinsche</t>
  </si>
  <si>
    <t>Macros de Excel y VBA para personas ocupadas</t>
  </si>
  <si>
    <t>Microsoft Excel - Desde lo Básico Hasta lo Más Profesional</t>
  </si>
  <si>
    <t>Curso de Excel Online Completo en Español</t>
  </si>
  <si>
    <t>Pablo Naderpour Peñalver</t>
  </si>
  <si>
    <t>Profesionaliza tu trabajo con Microsoft Word</t>
  </si>
  <si>
    <t>Fotografía Digital. Aprende con nosotros</t>
  </si>
  <si>
    <t>Ramón J Lobo</t>
  </si>
  <si>
    <t>Creatividad e Innovación - Dale Una Vuelta Más a Tu Cerebro</t>
  </si>
  <si>
    <t>Masterizacion de Audio: La guía completa de cómo masterizar</t>
  </si>
  <si>
    <t>Marco Galvan</t>
  </si>
  <si>
    <t>Logic Pro X el Curso completo con los secretos de Producción</t>
  </si>
  <si>
    <t>Alberto Diaz de Leon</t>
  </si>
  <si>
    <t>Hobbies</t>
  </si>
  <si>
    <t>Aprende a escribir fácilmente: 30 ejercicios de creatividad</t>
  </si>
  <si>
    <t>Inglés Básico: Todo lo esencial para hispanohablantes</t>
  </si>
  <si>
    <t>Daniel Welsch</t>
  </si>
  <si>
    <t>Inglés Básico para Principiantes: Una sólida base, hablando.</t>
  </si>
  <si>
    <t>Peter Hanley</t>
  </si>
  <si>
    <t>5 minutos al día para mejorar tu inglés: para gente ocupada</t>
  </si>
  <si>
    <t>Nathan Conkey</t>
  </si>
  <si>
    <t>Master English: Aprende a hablar Inglés de forma Simple</t>
  </si>
  <si>
    <t>Angelica Lara</t>
  </si>
  <si>
    <t>Inglés de Negocios: Vocabulario y Expresiones Esenciales</t>
  </si>
  <si>
    <t>English Pronunciation for Spanish Speakers - curso de inglés</t>
  </si>
  <si>
    <t>Curso De Francés Básico Para Hispanohablantes ✓ Paso A Paso</t>
  </si>
  <si>
    <t>Camille &amp; Alán (LIFIN Online)</t>
  </si>
  <si>
    <t>Cómo Aprender Inglés en Casa Rápido con 3 Técnicas Fáciles</t>
  </si>
  <si>
    <t>Paul Leyva</t>
  </si>
  <si>
    <t>Inglés básico 2: Una sólida base, hablando.</t>
  </si>
  <si>
    <t>Intensive Spanish Listening</t>
  </si>
  <si>
    <t>Diego Cuadros</t>
  </si>
  <si>
    <t>Curso de Italiano para Principiantes</t>
  </si>
  <si>
    <t>Curso de Alemán 1 | La Manera Fácil de Aprender Alemán</t>
  </si>
  <si>
    <t>Marcus Fritzsche</t>
  </si>
  <si>
    <t>Phrasal Verbs en Inglés – para Hispanohablantes</t>
  </si>
  <si>
    <t>Aprende las preposiciones en Inglés de una vez por todas</t>
  </si>
  <si>
    <t>Ana Mathias</t>
  </si>
  <si>
    <t>Aprender Chino a la primera</t>
  </si>
  <si>
    <t>Dennis García</t>
  </si>
  <si>
    <t>Curso de Alemán para Principiantes</t>
  </si>
  <si>
    <t>25 errores comunes que todos cometemos en Inglés</t>
  </si>
  <si>
    <t>Inglés útil para principiantes 1: empieza a hablar ya</t>
  </si>
  <si>
    <t>Condicionales en Inglés: la Guía Definitiva</t>
  </si>
  <si>
    <t>Inglés Técnico para Contadores: Vocabulario Esencial</t>
  </si>
  <si>
    <t>Shehla Turner</t>
  </si>
  <si>
    <t>Curso de Inglés para Hispanos - Nivel A2/B1.1 garantizado</t>
  </si>
  <si>
    <t>Juan Sebastian Cruz Olaya</t>
  </si>
  <si>
    <t>Curso de Inglés para Hispanos - Nivel A1 garantizado</t>
  </si>
  <si>
    <t>Inglés: Aprender Inglés Gradualmente Nivel Intermedio Alto I</t>
  </si>
  <si>
    <t>Elba Calderón</t>
  </si>
  <si>
    <t>Pronunciación Fácil del Inglés –  para hispanohablantes</t>
  </si>
  <si>
    <t>Aprende FRANCÉS desde CERO!</t>
  </si>
  <si>
    <t>Nabila Bouhia</t>
  </si>
  <si>
    <t>Curso práctico de ortografía: "Mejora tu ortografía ya"</t>
  </si>
  <si>
    <t>Andrea Herrera</t>
  </si>
  <si>
    <t>Japonés para principiantes. El método completo. Nivel 1</t>
  </si>
  <si>
    <t>Luis Sánchez</t>
  </si>
  <si>
    <t>Curso de Japonés - Módulo 1</t>
  </si>
  <si>
    <t>Marvin Gómez</t>
  </si>
  <si>
    <t>Curso de Alemán 2 | La Manera Fácil de Aprender Alemán</t>
  </si>
  <si>
    <t>Iniciación al idioma Chino: Curso Básico de Chino Mandarín.</t>
  </si>
  <si>
    <t>Alex Rubio</t>
  </si>
  <si>
    <t>Súper Cerebro: Lectura Rápida, Súper Lectura y Foto Lectura.</t>
  </si>
  <si>
    <t>Las 4 Claves Para Priorizar Tareas y Actuar - Método FAST®</t>
  </si>
  <si>
    <t>Joaquin Peña (+1.900 estudiantes) PhD</t>
  </si>
  <si>
    <t>Método de negociación de la U. Harvard y principios de PNL</t>
  </si>
  <si>
    <t>Giancarlo Auqué De Silvestri</t>
  </si>
  <si>
    <t>Productividad y Gestión del Tiempo</t>
  </si>
  <si>
    <t>Iris Reyna</t>
  </si>
  <si>
    <t>Certificado de PNL Para Principiantes y Avanzados</t>
  </si>
  <si>
    <t>¡Destruye la procrastinación!</t>
  </si>
  <si>
    <t>Autoestima y manejo de emociones. Crea tu propia autoimagen.</t>
  </si>
  <si>
    <t>Certificación en Terapia Cognitivo Conductual</t>
  </si>
  <si>
    <t>Decidir y Priorizar: La clave del éxito</t>
  </si>
  <si>
    <t>Confianza Indestructible en 30 días</t>
  </si>
  <si>
    <t>Súper Memoria: Cómo Desarrollar una Mente Poderosa.</t>
  </si>
  <si>
    <t>Productividad Personal: Eficiencia y Alto Rendimiento</t>
  </si>
  <si>
    <t>Cómo superar tu timidez y expresarte sin miedo</t>
  </si>
  <si>
    <t>Sofia Herrera de Alvaro</t>
  </si>
  <si>
    <t>Productividad Personal. Gana más Tiempo, se más Feliz. 2020.</t>
  </si>
  <si>
    <t>Entrevista de trabajo ganadora</t>
  </si>
  <si>
    <t>Emploity -</t>
  </si>
  <si>
    <t>Curso práctico para aprovechar el tiempo con el método CLAM</t>
  </si>
  <si>
    <t>Jorge Alberto Rojas Cruz</t>
  </si>
  <si>
    <t>Inteligencia Financiera y Crecimiento Personal</t>
  </si>
  <si>
    <t>Hugo Jaramillo</t>
  </si>
  <si>
    <t>Como Encontrar y Eliminar Bloqueos Mentales y Emocionales</t>
  </si>
  <si>
    <t>Leonardo Mauricio Gomez</t>
  </si>
  <si>
    <t>Lenguaje Corporal en los Negocios - Entrenamiento Definitivo</t>
  </si>
  <si>
    <t>Metas Estratégicas. Tu Guía Avanzada sobre Fijación de Metas</t>
  </si>
  <si>
    <t>Certificado de PNL: Practicante Master (Experto)</t>
  </si>
  <si>
    <t>Catalyst: Gestión del cambio y transformación</t>
  </si>
  <si>
    <t>Julio Zelaya</t>
  </si>
  <si>
    <t>Foto Lectura - Lectura Rápida de Máxima Velocidad.</t>
  </si>
  <si>
    <t>Aprende matemáticas desde cero - Aritmética</t>
  </si>
  <si>
    <t>Diseña tu Estrategia de Marca Personal paso a paso</t>
  </si>
  <si>
    <t>Andres Pérez Ortega</t>
  </si>
  <si>
    <t>Transcend: La Neurociencia de Tu Potencial™</t>
  </si>
  <si>
    <t>Transcend ™</t>
  </si>
  <si>
    <t>Técnicas de Estudio. Multiplica tu motivación para estudiar.</t>
  </si>
  <si>
    <t>Roberto Nova</t>
  </si>
  <si>
    <t>SPSS, se experto en análisis estadístico (basico-intermedio)</t>
  </si>
  <si>
    <t>Ernesto Roldan Valadez</t>
  </si>
  <si>
    <t>Técnicas de Estudio y Aprendizaje</t>
  </si>
  <si>
    <t>Sergio Moreno Rodríguez</t>
  </si>
  <si>
    <t>Inteligencia Emocional en Relaciones Personales y Laborales</t>
  </si>
  <si>
    <t>Curso Certificado de Mindfulness (Niveles I II III &amp; Master)</t>
  </si>
  <si>
    <t>Elimina el estrés negativo de tu vida</t>
  </si>
  <si>
    <t>Principios para entender y aplicar Agile, Scrum, Kanban y XP</t>
  </si>
  <si>
    <t>Manuel Mazán</t>
  </si>
  <si>
    <t>SCRUM Práctico en Proyectos de Software</t>
  </si>
  <si>
    <t>Ágil: Curso Express de Ágil | Gestión de Proyectos Ágil</t>
  </si>
  <si>
    <t>Design Sprints: validar mi idea en 5 días</t>
  </si>
  <si>
    <t>Lucia Ruiz Montiel</t>
  </si>
  <si>
    <t>De 0 a Master: La guía de SCRUM antes de tu examen</t>
  </si>
  <si>
    <t>Belen Idrovo</t>
  </si>
  <si>
    <t>Liderar transformaciones Agiles con Scrum@Scale</t>
  </si>
  <si>
    <t>Fabian Schwartz</t>
  </si>
  <si>
    <t>SAP Conceptos e iniciación</t>
  </si>
  <si>
    <t>Lean Six Sigma White Belt (CLSSWB)</t>
  </si>
  <si>
    <t>Héctor Manuel Hernández Ramírez</t>
  </si>
  <si>
    <t>Conviértete en un ANALISTA de INTELIGENCIA EMPRESARIAL</t>
  </si>
  <si>
    <t>Auditorias Internas de ISO 9001:2015</t>
  </si>
  <si>
    <t>Rubén Aníbal de la Cruz Clemente</t>
  </si>
  <si>
    <t>ISO 9001:2015 Sistemas de Gestión de la Calidad</t>
  </si>
  <si>
    <t>Raul Castillo Nopal</t>
  </si>
  <si>
    <t>ISO 9001:2015 Interpretación y guía para su implementación</t>
  </si>
  <si>
    <t>Luis Alfonso Mesa Angulo</t>
  </si>
  <si>
    <t>Scrum Master Certificación Mundial - Nov 2020</t>
  </si>
  <si>
    <t>Ismael Ramirez</t>
  </si>
  <si>
    <t>Certificación Professional Scrum Master PSM I ®</t>
  </si>
  <si>
    <t>Gestión de Proyectos | Certificación en Gestión de Proyectos</t>
  </si>
  <si>
    <t>Gestión de Proyectos con Estándares  PMI y la Guía PMBOK 6</t>
  </si>
  <si>
    <t>Marco Calle Rojas</t>
  </si>
  <si>
    <t>Gestión de proyectos - Proyectos pequeños</t>
  </si>
  <si>
    <t>Darwin Campoverde</t>
  </si>
  <si>
    <t>Fundamentos de la Gerencia de Proyectos</t>
  </si>
  <si>
    <t>Scrum Master: Simulador de Examen &amp; Material de Estudio</t>
  </si>
  <si>
    <t>Los 49 procesos de la Guía PMBOK VI, en detalle</t>
  </si>
  <si>
    <t>Jordi Teixidó</t>
  </si>
  <si>
    <t>Curso para la certificación de EXIN Agile Scrum Foundation</t>
  </si>
  <si>
    <t>Christian Magallón García</t>
  </si>
  <si>
    <t>Tips para el Examen PMP - Version 6 del PMBOK</t>
  </si>
  <si>
    <t>PM World</t>
  </si>
  <si>
    <t>Especialización en Gestión de Proyectos</t>
  </si>
  <si>
    <t>Gestión de Proyectos|Planifica tus Proyectos desde Cero</t>
  </si>
  <si>
    <t>Domina SCRUM con JIRA - Metodología Agile</t>
  </si>
  <si>
    <t>Curso de Project: Completo y desde cero para principiantes</t>
  </si>
  <si>
    <t>Administra Proyectos con MS Project De Cero a Avanzado</t>
  </si>
  <si>
    <t>Mauricio F. Morales R.</t>
  </si>
  <si>
    <t>Diseño de Sistemas Fotovoltaicos Residenciales y Comerciales</t>
  </si>
  <si>
    <t>Carlos E. Tróchez</t>
  </si>
  <si>
    <t>Gestión de Proyectos con Oracle Primavera P6</t>
  </si>
  <si>
    <t>Jose Gregorio Guevara Liendo</t>
  </si>
  <si>
    <t>Atención al Cliente con Inteligencia Emocional</t>
  </si>
  <si>
    <t>Curso Completo Consultor SAP MM desde Cero</t>
  </si>
  <si>
    <t>Las Reglas de Oro de Atención a Clientes</t>
  </si>
  <si>
    <t>Irene Garcia Castillo</t>
  </si>
  <si>
    <t>Negociación: Cómo Negociar con Eficacia y Éxito</t>
  </si>
  <si>
    <t>Bernard Horande</t>
  </si>
  <si>
    <t>Ventas: 25 Cierres de Venta para Superar Objeciones</t>
  </si>
  <si>
    <t>Gustavo Escobar Henríquez</t>
  </si>
  <si>
    <t>Estrategia de Ventas B2B : Conviértete en un Vendedor Top</t>
  </si>
  <si>
    <t>Ventas Paso a Paso: Curso Completo para Aumentar tus Ventas</t>
  </si>
  <si>
    <t>Llamada en frío 3.0 - La venta directa asertiva</t>
  </si>
  <si>
    <t>Diego Sosa</t>
  </si>
  <si>
    <t>Liderazgo en Ventas con Calidad Humana</t>
  </si>
  <si>
    <t>Guido Rosas</t>
  </si>
  <si>
    <t>Negociación en Tiempos de Incertidumbre</t>
  </si>
  <si>
    <t>Romano Rodríguez Fernández</t>
  </si>
  <si>
    <t>Nunca más llamada fría</t>
  </si>
  <si>
    <t>Josué Gadea</t>
  </si>
  <si>
    <t>Ventas Profesionales para Emprendedores Latinos</t>
  </si>
  <si>
    <t>Seguridad informática para Empresas. Protege tus Datos. 2020</t>
  </si>
  <si>
    <t>Cómo construir y medir tus KPI's de RRHH en tu Organización</t>
  </si>
  <si>
    <t>Juan Carlos Páez Núñez</t>
  </si>
  <si>
    <t>Cómo facilitar talleres de capacitación (avanzado)</t>
  </si>
  <si>
    <t>Sebastian Tagle</t>
  </si>
  <si>
    <t>Curso Experto en Gestión de Equipos</t>
  </si>
  <si>
    <t>Sandra Burgos</t>
  </si>
  <si>
    <t>Neuroeducación y Neurodidáctica - Herramientas para educar</t>
  </si>
  <si>
    <t>Nueces y Neuronas Formaciones</t>
  </si>
  <si>
    <t>Google Classroom: Implementación de un ejemplo practico</t>
  </si>
  <si>
    <t>Juvenal A. Nieto V.</t>
  </si>
  <si>
    <t>No es un curso más de recruiting IT</t>
  </si>
  <si>
    <t>Daniel Merkier</t>
  </si>
  <si>
    <t>Work Safety</t>
  </si>
  <si>
    <t>BIOSEGURIDAD LABORAL COVID 19 - CONSEJOS Y GUIAS PRACTICAS</t>
  </si>
  <si>
    <t>Alvaro R. Alcoba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</si>
</sst>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font>
      <sz val="10"/>
      <color rgb="FF000000"/>
      <name val="Arial"/>
    </font>
    <font>
      <b/>
      <sz val="12"/>
      <color rgb="FFFFFFFF"/>
      <name val="Arial"/>
    </font>
    <font>
      <i/>
      <sz val="10"/>
      <name val="Arial"/>
    </font>
    <font>
      <b/>
      <i/>
      <sz val="10"/>
      <name val="Arial"/>
    </font>
    <font>
      <b/>
      <sz val="10"/>
      <name val="Arial"/>
    </font>
    <font>
      <sz val="10"/>
      <name val="Arial"/>
    </font>
    <font>
      <b/>
      <sz val="10"/>
      <name val="Arial"/>
    </font>
    <font>
      <sz val="10"/>
      <name val="Arial"/>
    </font>
    <font>
      <b/>
      <sz val="12"/>
      <color rgb="FFFFFFFF"/>
      <name val="arial,sans,sans-serif"/>
    </font>
    <font>
      <b/>
      <u/>
      <sz val="12"/>
      <color rgb="FFFFFFFF"/>
      <name val="arial,sans,sans-serif"/>
    </font>
  </fonts>
  <fills count="4">
    <fill>
      <patternFill patternType="none"/>
    </fill>
    <fill>
      <patternFill patternType="gray125"/>
    </fill>
    <fill>
      <patternFill patternType="solid">
        <fgColor rgb="FFFFFFFF"/>
        <bgColor rgb="FFFFFFFF"/>
      </patternFill>
    </fill>
    <fill>
      <patternFill patternType="solid">
        <fgColor rgb="FFEC5252"/>
        <bgColor rgb="FFEC5252"/>
      </patternFill>
    </fill>
  </fills>
  <borders count="2">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68">
    <xf numFmtId="0" fontId="0" fillId="0" borderId="0" xfId="0" applyFont="1" applyAlignment="1"/>
    <xf numFmtId="0" fontId="1" fillId="2" borderId="0" xfId="0" applyFont="1" applyFill="1" applyAlignment="1">
      <alignment horizontal="left" vertical="center"/>
    </xf>
    <xf numFmtId="0" fontId="1" fillId="3" borderId="0" xfId="0"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4" fillId="2" borderId="0" xfId="0" applyFont="1" applyFill="1" applyAlignment="1">
      <alignment horizontal="left"/>
    </xf>
    <xf numFmtId="4" fontId="4" fillId="2" borderId="0" xfId="0" applyNumberFormat="1" applyFont="1" applyFill="1" applyAlignment="1">
      <alignment horizontal="left"/>
    </xf>
    <xf numFmtId="0" fontId="4" fillId="2" borderId="0" xfId="0" applyFont="1" applyFill="1" applyAlignment="1">
      <alignment horizontal="left"/>
    </xf>
    <xf numFmtId="0" fontId="5" fillId="0" borderId="0" xfId="0" applyFont="1" applyAlignment="1">
      <alignment horizontal="left"/>
    </xf>
    <xf numFmtId="0" fontId="5" fillId="0" borderId="0" xfId="0" applyFont="1" applyAlignment="1"/>
    <xf numFmtId="4" fontId="5" fillId="0" borderId="0" xfId="0" applyNumberFormat="1" applyFont="1" applyAlignment="1">
      <alignment horizontal="left"/>
    </xf>
    <xf numFmtId="164" fontId="5" fillId="0" borderId="0" xfId="0" applyNumberFormat="1" applyFont="1" applyAlignment="1">
      <alignment horizontal="left"/>
    </xf>
    <xf numFmtId="4" fontId="5" fillId="2" borderId="0" xfId="0" applyNumberFormat="1" applyFont="1" applyFill="1" applyAlignment="1">
      <alignment horizontal="left"/>
    </xf>
    <xf numFmtId="0" fontId="5" fillId="2" borderId="0" xfId="0" applyFont="1" applyFill="1" applyAlignment="1">
      <alignment horizontal="left"/>
    </xf>
    <xf numFmtId="0" fontId="5" fillId="0" borderId="0" xfId="0" applyFont="1" applyAlignment="1"/>
    <xf numFmtId="164" fontId="5" fillId="0" borderId="0" xfId="0" applyNumberFormat="1" applyFont="1" applyAlignment="1"/>
    <xf numFmtId="1" fontId="5" fillId="0" borderId="0" xfId="0" applyNumberFormat="1" applyFont="1" applyAlignment="1"/>
    <xf numFmtId="1" fontId="5" fillId="0" borderId="0" xfId="0" applyNumberFormat="1" applyFont="1" applyAlignment="1"/>
    <xf numFmtId="165" fontId="5" fillId="0" borderId="0" xfId="0" applyNumberFormat="1" applyFont="1" applyAlignment="1"/>
    <xf numFmtId="4" fontId="5" fillId="0" borderId="0" xfId="0" applyNumberFormat="1" applyFont="1" applyAlignment="1"/>
    <xf numFmtId="0" fontId="5" fillId="0" borderId="0" xfId="0" applyFont="1" applyAlignment="1">
      <alignment horizontal="left"/>
    </xf>
    <xf numFmtId="164" fontId="1" fillId="2" borderId="0" xfId="0" applyNumberFormat="1" applyFont="1" applyFill="1" applyAlignment="1">
      <alignment horizontal="center" vertical="center"/>
    </xf>
    <xf numFmtId="0" fontId="4" fillId="2" borderId="0" xfId="0" applyFont="1" applyFill="1" applyAlignment="1">
      <alignment horizontal="left"/>
    </xf>
    <xf numFmtId="0" fontId="4" fillId="2" borderId="0" xfId="0" applyFont="1" applyFill="1" applyAlignment="1">
      <alignment horizontal="center"/>
    </xf>
    <xf numFmtId="4" fontId="4"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1" xfId="0" applyFont="1" applyFill="1" applyBorder="1" applyAlignment="1">
      <alignment horizontal="center"/>
    </xf>
    <xf numFmtId="1" fontId="5" fillId="2" borderId="0" xfId="0" applyNumberFormat="1" applyFont="1" applyFill="1" applyAlignment="1"/>
    <xf numFmtId="0" fontId="5" fillId="2" borderId="0" xfId="0" applyFont="1" applyFill="1" applyAlignment="1"/>
    <xf numFmtId="0" fontId="5" fillId="2" borderId="0" xfId="0" applyFont="1" applyFill="1" applyAlignment="1"/>
    <xf numFmtId="4" fontId="5" fillId="2" borderId="0" xfId="0" applyNumberFormat="1" applyFont="1" applyFill="1" applyAlignment="1">
      <alignment horizontal="center"/>
    </xf>
    <xf numFmtId="164" fontId="5" fillId="2" borderId="0" xfId="0" applyNumberFormat="1" applyFont="1" applyFill="1" applyAlignment="1">
      <alignment horizontal="center"/>
    </xf>
    <xf numFmtId="1" fontId="5" fillId="2" borderId="0" xfId="0" applyNumberFormat="1" applyFont="1" applyFill="1" applyAlignment="1">
      <alignment horizontal="right"/>
    </xf>
    <xf numFmtId="0" fontId="5" fillId="2" borderId="0" xfId="0" applyFont="1" applyFill="1" applyAlignment="1">
      <alignment horizontal="center" wrapText="1"/>
    </xf>
    <xf numFmtId="0" fontId="5" fillId="2" borderId="0" xfId="0" applyFont="1" applyFill="1" applyAlignment="1">
      <alignment horizontal="left" wrapText="1"/>
    </xf>
    <xf numFmtId="1" fontId="5" fillId="0" borderId="0" xfId="0" applyNumberFormat="1" applyFont="1" applyAlignment="1">
      <alignment horizontal="left"/>
    </xf>
    <xf numFmtId="0" fontId="5" fillId="0" borderId="0" xfId="0" applyFont="1" applyAlignment="1"/>
    <xf numFmtId="0" fontId="5" fillId="0" borderId="0" xfId="0" applyFont="1" applyAlignment="1"/>
    <xf numFmtId="4" fontId="5" fillId="0" borderId="0" xfId="0" applyNumberFormat="1" applyFont="1" applyAlignment="1">
      <alignment horizontal="center"/>
    </xf>
    <xf numFmtId="164" fontId="5" fillId="0" borderId="0" xfId="0" applyNumberFormat="1" applyFont="1" applyAlignment="1">
      <alignment horizontal="center"/>
    </xf>
    <xf numFmtId="165" fontId="6" fillId="0" borderId="0" xfId="0" applyNumberFormat="1" applyFont="1" applyAlignment="1">
      <alignment horizontal="center" vertical="center" wrapText="1"/>
    </xf>
    <xf numFmtId="1" fontId="5" fillId="0" borderId="0" xfId="0" applyNumberFormat="1" applyFont="1" applyAlignment="1">
      <alignment horizontal="right"/>
    </xf>
    <xf numFmtId="1" fontId="5" fillId="0" borderId="0" xfId="0" applyNumberFormat="1" applyFont="1" applyAlignment="1"/>
    <xf numFmtId="1" fontId="5" fillId="0" borderId="0" xfId="0" applyNumberFormat="1" applyFont="1" applyAlignment="1"/>
    <xf numFmtId="1" fontId="5" fillId="0" borderId="0" xfId="0" applyNumberFormat="1" applyFont="1" applyAlignment="1"/>
    <xf numFmtId="2" fontId="5" fillId="0" borderId="0" xfId="0" applyNumberFormat="1" applyFont="1" applyAlignment="1">
      <alignment horizontal="right"/>
    </xf>
    <xf numFmtId="164" fontId="5" fillId="0" borderId="0" xfId="0" applyNumberFormat="1" applyFont="1" applyAlignment="1"/>
    <xf numFmtId="0" fontId="5" fillId="0" borderId="0" xfId="0" applyFont="1" applyAlignment="1">
      <alignment horizontal="right"/>
    </xf>
    <xf numFmtId="0" fontId="5" fillId="0" borderId="0" xfId="0" applyFont="1" applyAlignment="1"/>
    <xf numFmtId="2" fontId="5" fillId="0" borderId="0" xfId="0" applyNumberFormat="1" applyFont="1" applyAlignment="1"/>
    <xf numFmtId="1" fontId="4" fillId="0" borderId="0" xfId="0" applyNumberFormat="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165" fontId="4"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165" fontId="7" fillId="0" borderId="0" xfId="0" applyNumberFormat="1" applyFont="1" applyAlignment="1"/>
    <xf numFmtId="0" fontId="7" fillId="0" borderId="0" xfId="0" applyFont="1" applyAlignment="1">
      <alignment horizontal="center"/>
    </xf>
    <xf numFmtId="2" fontId="7" fillId="0" borderId="0" xfId="0" applyNumberFormat="1" applyFont="1" applyAlignment="1">
      <alignment horizontal="center"/>
    </xf>
    <xf numFmtId="165" fontId="7" fillId="0" borderId="0" xfId="0" applyNumberFormat="1" applyFont="1" applyAlignment="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5" fontId="7" fillId="0" borderId="0" xfId="0" applyNumberFormat="1" applyFont="1"/>
    <xf numFmtId="165" fontId="7" fillId="0" borderId="0" xfId="0" applyNumberFormat="1" applyFont="1" applyAlignment="1">
      <alignment horizontal="center"/>
    </xf>
    <xf numFmtId="0" fontId="5" fillId="0" borderId="0" xfId="0" applyFont="1" applyAlignment="1">
      <alignment horizontal="center"/>
    </xf>
    <xf numFmtId="0" fontId="1" fillId="2" borderId="0" xfId="0" applyFont="1" applyFill="1" applyAlignment="1">
      <alignment horizontal="left" vertical="center"/>
    </xf>
    <xf numFmtId="0" fontId="0" fillId="0" borderId="0" xfId="0" applyFont="1" applyAlignment="1"/>
    <xf numFmtId="0" fontId="1" fillId="3" borderId="0" xfId="0" applyFont="1" applyFill="1" applyAlignment="1">
      <alignment horizontal="center" vertical="center"/>
    </xf>
    <xf numFmtId="0" fontId="3" fillId="0" borderId="0" xfId="0" applyFont="1" applyAlignment="1">
      <alignment horizontal="center" vertical="center"/>
    </xf>
  </cellXfs>
  <cellStyles count="1">
    <cellStyle name="Normal" xfId="0" builtinId="0"/>
  </cellStyles>
  <dxfs count="1">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3</xdr:col>
      <xdr:colOff>4386942</xdr:colOff>
      <xdr:row>0</xdr:row>
      <xdr:rowOff>108857</xdr:rowOff>
    </xdr:from>
    <xdr:ext cx="1480458" cy="40821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661071" y="108857"/>
          <a:ext cx="1480458" cy="40821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4343400</xdr:colOff>
      <xdr:row>0</xdr:row>
      <xdr:rowOff>76201</xdr:rowOff>
    </xdr:from>
    <xdr:ext cx="1594756" cy="435428"/>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617529" y="76201"/>
          <a:ext cx="1594756" cy="435428"/>
        </a:xfrm>
        <a:prstGeom prst="rect">
          <a:avLst/>
        </a:prstGeom>
        <a:noFill/>
      </xdr:spPr>
    </xdr:pic>
    <xdr:clientData fLocksWithSheet="0"/>
  </xdr:oneCellAnchor>
  <xdr:oneCellAnchor>
    <xdr:from>
      <xdr:col>0</xdr:col>
      <xdr:colOff>0</xdr:colOff>
      <xdr:row>0</xdr:row>
      <xdr:rowOff>0</xdr:rowOff>
    </xdr:from>
    <xdr:ext cx="1504950" cy="382601"/>
    <xdr:pic>
      <xdr:nvPicPr>
        <xdr:cNvPr id="3" name="image1.png">
          <a:extLst>
            <a:ext uri="{FF2B5EF4-FFF2-40B4-BE49-F238E27FC236}">
              <a16:creationId xmlns:a16="http://schemas.microsoft.com/office/drawing/2014/main" id="{27E1D71D-8643-4FA5-9A6E-ACCC80DED675}"/>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0"/>
          <a:ext cx="1504950" cy="382601"/>
        </a:xfrm>
        <a:prstGeom prst="rect">
          <a:avLst/>
        </a:prstGeom>
        <a:noFill/>
      </xdr:spPr>
    </xdr:pic>
    <xdr:clientData fLocksWithSheet="0"/>
  </xdr:oneCellAnchor>
  <xdr:oneCellAnchor>
    <xdr:from>
      <xdr:col>0</xdr:col>
      <xdr:colOff>152400</xdr:colOff>
      <xdr:row>0</xdr:row>
      <xdr:rowOff>152400</xdr:rowOff>
    </xdr:from>
    <xdr:ext cx="1504950" cy="382601"/>
    <xdr:pic>
      <xdr:nvPicPr>
        <xdr:cNvPr id="5" name="image1.png">
          <a:extLst>
            <a:ext uri="{FF2B5EF4-FFF2-40B4-BE49-F238E27FC236}">
              <a16:creationId xmlns:a16="http://schemas.microsoft.com/office/drawing/2014/main" id="{767D7A89-449F-40C9-85AD-4766FE65614A}"/>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2400" y="152400"/>
          <a:ext cx="1504950" cy="382601"/>
        </a:xfrm>
        <a:prstGeom prst="rect">
          <a:avLst/>
        </a:prstGeom>
        <a:noFill/>
      </xdr:spPr>
    </xdr:pic>
    <xdr:clientData fLocksWithSheet="0"/>
  </xdr:oneCellAnchor>
  <xdr:oneCellAnchor>
    <xdr:from>
      <xdr:col>0</xdr:col>
      <xdr:colOff>304800</xdr:colOff>
      <xdr:row>0</xdr:row>
      <xdr:rowOff>304800</xdr:rowOff>
    </xdr:from>
    <xdr:ext cx="1504950" cy="382601"/>
    <xdr:pic>
      <xdr:nvPicPr>
        <xdr:cNvPr id="6" name="image1.png">
          <a:extLst>
            <a:ext uri="{FF2B5EF4-FFF2-40B4-BE49-F238E27FC236}">
              <a16:creationId xmlns:a16="http://schemas.microsoft.com/office/drawing/2014/main" id="{0CCD706F-2B15-455F-949E-7185EDA69897}"/>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4800" y="304800"/>
          <a:ext cx="1504950" cy="382601"/>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4343400</xdr:colOff>
      <xdr:row>0</xdr:row>
      <xdr:rowOff>87087</xdr:rowOff>
    </xdr:from>
    <xdr:ext cx="1817913" cy="435427"/>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617529" y="87087"/>
          <a:ext cx="1817913" cy="435427"/>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4348843</xdr:colOff>
      <xdr:row>0</xdr:row>
      <xdr:rowOff>81643</xdr:rowOff>
    </xdr:from>
    <xdr:ext cx="1556657" cy="440871"/>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88186" y="81643"/>
          <a:ext cx="1556657" cy="440871"/>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4272643</xdr:colOff>
      <xdr:row>0</xdr:row>
      <xdr:rowOff>97971</xdr:rowOff>
    </xdr:from>
    <xdr:ext cx="1605642" cy="39188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46772" y="97971"/>
          <a:ext cx="1605642" cy="39188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26"/>
  <sheetViews>
    <sheetView showGridLines="0" tabSelected="1" workbookViewId="0">
      <pane ySplit="4" topLeftCell="A5" activePane="bottomLeft" state="frozen"/>
      <selection pane="bottomLeft" activeCell="D1" sqref="D1:G1"/>
    </sheetView>
  </sheetViews>
  <sheetFormatPr defaultColWidth="14.453125" defaultRowHeight="15.75" customHeight="1"/>
  <cols>
    <col min="1" max="1" width="14.453125" customWidth="1"/>
    <col min="2" max="2" width="29.54296875" customWidth="1"/>
    <col min="3" max="3" width="30.54296875" customWidth="1"/>
    <col min="4" max="4" width="67.54296875" customWidth="1"/>
    <col min="5" max="5" width="68" customWidth="1"/>
    <col min="6" max="6" width="26.26953125" customWidth="1"/>
    <col min="7" max="7" width="16.54296875" customWidth="1"/>
    <col min="8" max="8" width="15.81640625" customWidth="1"/>
    <col min="9" max="9" width="20.1796875" customWidth="1"/>
  </cols>
  <sheetData>
    <row r="1" spans="1:9" ht="45" customHeight="1">
      <c r="A1" s="1"/>
      <c r="B1" s="1"/>
      <c r="C1" s="1"/>
      <c r="D1" s="64" t="s">
        <v>0</v>
      </c>
      <c r="E1" s="65"/>
      <c r="F1" s="65"/>
      <c r="G1" s="65"/>
      <c r="H1" s="1"/>
      <c r="I1" s="1"/>
    </row>
    <row r="2" spans="1:9" ht="20.25" customHeight="1">
      <c r="A2" s="2"/>
      <c r="B2" s="66" t="s">
        <v>1</v>
      </c>
      <c r="C2" s="65"/>
      <c r="D2" s="65"/>
      <c r="E2" s="65"/>
      <c r="F2" s="65"/>
      <c r="G2" s="65"/>
      <c r="H2" s="65"/>
      <c r="I2" s="65"/>
    </row>
    <row r="3" spans="1:9" ht="20.25" customHeight="1">
      <c r="A3" s="3"/>
      <c r="B3" s="67" t="s">
        <v>2</v>
      </c>
      <c r="C3" s="65"/>
      <c r="D3" s="65"/>
      <c r="E3" s="65"/>
      <c r="F3" s="65"/>
      <c r="G3" s="65"/>
      <c r="H3" s="65"/>
      <c r="I3" s="65"/>
    </row>
    <row r="4" spans="1:9" ht="13">
      <c r="A4" s="4" t="s">
        <v>3</v>
      </c>
      <c r="B4" s="4" t="s">
        <v>4</v>
      </c>
      <c r="C4" s="4" t="s">
        <v>5</v>
      </c>
      <c r="D4" s="4" t="s">
        <v>6</v>
      </c>
      <c r="E4" s="4" t="s">
        <v>7</v>
      </c>
      <c r="F4" s="5" t="s">
        <v>8</v>
      </c>
      <c r="G4" s="6" t="s">
        <v>9</v>
      </c>
      <c r="H4" s="6" t="s">
        <v>10</v>
      </c>
      <c r="I4" s="7" t="s">
        <v>11</v>
      </c>
    </row>
    <row r="5" spans="1:9" ht="12.5">
      <c r="A5" s="8">
        <v>3287008</v>
      </c>
      <c r="B5" s="9" t="s">
        <v>12</v>
      </c>
      <c r="C5" s="9" t="s">
        <v>13</v>
      </c>
      <c r="D5" s="9" t="s">
        <v>14</v>
      </c>
      <c r="E5" s="9" t="s">
        <v>15</v>
      </c>
      <c r="F5" s="9" t="s">
        <v>16</v>
      </c>
      <c r="G5" s="10">
        <v>4.51</v>
      </c>
      <c r="H5" s="11">
        <v>4.7</v>
      </c>
      <c r="I5" s="8" t="s">
        <v>17</v>
      </c>
    </row>
    <row r="6" spans="1:9" ht="12.5">
      <c r="A6" s="8">
        <v>2434206</v>
      </c>
      <c r="B6" s="9" t="s">
        <v>12</v>
      </c>
      <c r="C6" s="9" t="s">
        <v>13</v>
      </c>
      <c r="D6" s="9" t="s">
        <v>18</v>
      </c>
      <c r="E6" s="9" t="s">
        <v>19</v>
      </c>
      <c r="F6" s="9" t="s">
        <v>20</v>
      </c>
      <c r="G6" s="10">
        <v>4.79</v>
      </c>
      <c r="H6" s="11">
        <v>13.2</v>
      </c>
      <c r="I6" s="8" t="s">
        <v>21</v>
      </c>
    </row>
    <row r="7" spans="1:9" ht="12.5">
      <c r="A7" s="8">
        <v>2440786</v>
      </c>
      <c r="B7" s="9" t="s">
        <v>12</v>
      </c>
      <c r="C7" s="9" t="s">
        <v>13</v>
      </c>
      <c r="D7" s="9" t="s">
        <v>22</v>
      </c>
      <c r="E7" s="9" t="s">
        <v>23</v>
      </c>
      <c r="F7" s="9" t="s">
        <v>20</v>
      </c>
      <c r="G7" s="10">
        <v>4.5599999999999996</v>
      </c>
      <c r="H7" s="11">
        <v>1.6</v>
      </c>
      <c r="I7" s="8" t="s">
        <v>21</v>
      </c>
    </row>
    <row r="8" spans="1:9" ht="12.5">
      <c r="A8" s="8">
        <v>3277156</v>
      </c>
      <c r="B8" s="9" t="s">
        <v>12</v>
      </c>
      <c r="C8" s="9" t="s">
        <v>24</v>
      </c>
      <c r="D8" s="9" t="s">
        <v>25</v>
      </c>
      <c r="E8" s="9" t="s">
        <v>25</v>
      </c>
      <c r="F8" s="9" t="s">
        <v>20</v>
      </c>
      <c r="G8" s="10">
        <v>4.8</v>
      </c>
      <c r="H8" s="11">
        <v>31.2</v>
      </c>
      <c r="I8" s="8" t="s">
        <v>21</v>
      </c>
    </row>
    <row r="9" spans="1:9" ht="12.5">
      <c r="A9" s="8">
        <v>2504794</v>
      </c>
      <c r="B9" s="9" t="s">
        <v>12</v>
      </c>
      <c r="C9" s="9" t="s">
        <v>13</v>
      </c>
      <c r="D9" s="9" t="s">
        <v>26</v>
      </c>
      <c r="E9" s="9" t="s">
        <v>27</v>
      </c>
      <c r="F9" s="9" t="s">
        <v>28</v>
      </c>
      <c r="G9" s="10">
        <v>4.5999999999999996</v>
      </c>
      <c r="H9" s="11">
        <v>3.1</v>
      </c>
      <c r="I9" s="8" t="s">
        <v>17</v>
      </c>
    </row>
    <row r="10" spans="1:9" ht="12.5">
      <c r="A10" s="8">
        <v>2476770</v>
      </c>
      <c r="B10" s="9" t="s">
        <v>12</v>
      </c>
      <c r="C10" s="9" t="s">
        <v>24</v>
      </c>
      <c r="D10" s="9" t="s">
        <v>29</v>
      </c>
      <c r="E10" s="9" t="s">
        <v>30</v>
      </c>
      <c r="F10" s="9" t="s">
        <v>20</v>
      </c>
      <c r="G10" s="10">
        <v>4.71</v>
      </c>
      <c r="H10" s="11">
        <v>10.8</v>
      </c>
      <c r="I10" s="8" t="s">
        <v>21</v>
      </c>
    </row>
    <row r="11" spans="1:9" ht="12.5">
      <c r="A11" s="8">
        <v>1114134</v>
      </c>
      <c r="B11" s="9" t="s">
        <v>31</v>
      </c>
      <c r="C11" s="9" t="s">
        <v>32</v>
      </c>
      <c r="D11" s="9" t="s">
        <v>33</v>
      </c>
      <c r="E11" s="9" t="s">
        <v>33</v>
      </c>
      <c r="F11" s="9" t="s">
        <v>34</v>
      </c>
      <c r="G11" s="10">
        <v>4.24</v>
      </c>
      <c r="H11" s="11">
        <v>7.2</v>
      </c>
      <c r="I11" s="8" t="s">
        <v>17</v>
      </c>
    </row>
    <row r="12" spans="1:9" ht="12.5">
      <c r="A12" s="8">
        <v>1765870</v>
      </c>
      <c r="B12" s="9" t="s">
        <v>31</v>
      </c>
      <c r="C12" s="9" t="s">
        <v>32</v>
      </c>
      <c r="D12" s="9" t="s">
        <v>35</v>
      </c>
      <c r="E12" s="9" t="s">
        <v>36</v>
      </c>
      <c r="F12" s="9" t="s">
        <v>34</v>
      </c>
      <c r="G12" s="10">
        <v>4.3899999999999997</v>
      </c>
      <c r="H12" s="11">
        <v>13.9</v>
      </c>
      <c r="I12" s="8" t="s">
        <v>17</v>
      </c>
    </row>
    <row r="13" spans="1:9" ht="12.5">
      <c r="A13" s="8">
        <v>2939918</v>
      </c>
      <c r="B13" s="9" t="s">
        <v>31</v>
      </c>
      <c r="C13" s="9" t="s">
        <v>37</v>
      </c>
      <c r="D13" s="9" t="s">
        <v>38</v>
      </c>
      <c r="E13" s="9" t="s">
        <v>39</v>
      </c>
      <c r="F13" s="9" t="s">
        <v>40</v>
      </c>
      <c r="G13" s="10">
        <v>4.76</v>
      </c>
      <c r="H13" s="11">
        <v>8.1</v>
      </c>
      <c r="I13" s="8" t="s">
        <v>17</v>
      </c>
    </row>
    <row r="14" spans="1:9" ht="12.5">
      <c r="A14" s="8">
        <v>2637606</v>
      </c>
      <c r="B14" s="9" t="s">
        <v>31</v>
      </c>
      <c r="C14" s="9" t="s">
        <v>37</v>
      </c>
      <c r="D14" s="9" t="s">
        <v>41</v>
      </c>
      <c r="E14" s="9" t="s">
        <v>42</v>
      </c>
      <c r="F14" s="9" t="s">
        <v>43</v>
      </c>
      <c r="G14" s="10">
        <v>4.62</v>
      </c>
      <c r="H14" s="11">
        <v>1.1000000000000001</v>
      </c>
      <c r="I14" s="8" t="s">
        <v>17</v>
      </c>
    </row>
    <row r="15" spans="1:9" ht="12.5">
      <c r="A15" s="8">
        <v>1463052</v>
      </c>
      <c r="B15" s="9" t="s">
        <v>31</v>
      </c>
      <c r="C15" s="9" t="s">
        <v>44</v>
      </c>
      <c r="D15" s="9" t="s">
        <v>45</v>
      </c>
      <c r="E15" s="9" t="s">
        <v>46</v>
      </c>
      <c r="F15" s="9" t="s">
        <v>34</v>
      </c>
      <c r="G15" s="10">
        <v>4.4400000000000004</v>
      </c>
      <c r="H15" s="11">
        <v>18.399999999999999</v>
      </c>
      <c r="I15" s="8" t="s">
        <v>21</v>
      </c>
    </row>
    <row r="16" spans="1:9" ht="12.5">
      <c r="A16" s="8">
        <v>2419476</v>
      </c>
      <c r="B16" s="9" t="s">
        <v>31</v>
      </c>
      <c r="C16" s="9" t="s">
        <v>32</v>
      </c>
      <c r="D16" s="9" t="s">
        <v>47</v>
      </c>
      <c r="E16" s="9" t="s">
        <v>48</v>
      </c>
      <c r="F16" s="9" t="s">
        <v>49</v>
      </c>
      <c r="G16" s="10">
        <v>4.62</v>
      </c>
      <c r="H16" s="11">
        <v>14</v>
      </c>
      <c r="I16" s="8" t="s">
        <v>21</v>
      </c>
    </row>
    <row r="17" spans="1:9" ht="12.5">
      <c r="A17" s="8">
        <v>1692228</v>
      </c>
      <c r="B17" s="9" t="s">
        <v>31</v>
      </c>
      <c r="C17" s="9" t="s">
        <v>37</v>
      </c>
      <c r="D17" s="9" t="s">
        <v>50</v>
      </c>
      <c r="E17" s="9" t="s">
        <v>51</v>
      </c>
      <c r="F17" s="9" t="s">
        <v>49</v>
      </c>
      <c r="G17" s="10">
        <v>4.7</v>
      </c>
      <c r="H17" s="11">
        <v>2.6</v>
      </c>
      <c r="I17" s="8" t="s">
        <v>17</v>
      </c>
    </row>
    <row r="18" spans="1:9" ht="12.5">
      <c r="A18" s="8">
        <v>859184</v>
      </c>
      <c r="B18" s="9" t="s">
        <v>31</v>
      </c>
      <c r="C18" s="9" t="s">
        <v>37</v>
      </c>
      <c r="D18" s="9" t="s">
        <v>52</v>
      </c>
      <c r="E18" s="9" t="s">
        <v>53</v>
      </c>
      <c r="F18" s="9" t="s">
        <v>54</v>
      </c>
      <c r="G18" s="10">
        <v>4.58</v>
      </c>
      <c r="H18" s="11">
        <v>19.5</v>
      </c>
      <c r="I18" s="8" t="s">
        <v>17</v>
      </c>
    </row>
    <row r="19" spans="1:9" ht="12.5">
      <c r="A19" s="8">
        <v>2837098</v>
      </c>
      <c r="B19" s="9" t="s">
        <v>31</v>
      </c>
      <c r="C19" s="9" t="s">
        <v>37</v>
      </c>
      <c r="D19" s="9" t="s">
        <v>55</v>
      </c>
      <c r="E19" s="9" t="s">
        <v>56</v>
      </c>
      <c r="F19" s="9" t="s">
        <v>57</v>
      </c>
      <c r="G19" s="10">
        <v>4.57</v>
      </c>
      <c r="H19" s="11">
        <v>3</v>
      </c>
      <c r="I19" s="8" t="s">
        <v>17</v>
      </c>
    </row>
    <row r="20" spans="1:9" ht="12.5">
      <c r="A20" s="8">
        <v>3411646</v>
      </c>
      <c r="B20" s="9" t="s">
        <v>31</v>
      </c>
      <c r="C20" s="9" t="s">
        <v>44</v>
      </c>
      <c r="D20" s="9" t="s">
        <v>58</v>
      </c>
      <c r="E20" s="9" t="s">
        <v>59</v>
      </c>
      <c r="F20" s="9" t="s">
        <v>16</v>
      </c>
      <c r="G20" s="10">
        <v>4.59</v>
      </c>
      <c r="H20" s="11">
        <v>6.2</v>
      </c>
      <c r="I20" s="8" t="s">
        <v>21</v>
      </c>
    </row>
    <row r="21" spans="1:9" ht="12.5">
      <c r="A21" s="8">
        <v>2777804</v>
      </c>
      <c r="B21" s="9" t="s">
        <v>31</v>
      </c>
      <c r="C21" s="9" t="s">
        <v>44</v>
      </c>
      <c r="D21" s="9" t="s">
        <v>60</v>
      </c>
      <c r="E21" s="9" t="s">
        <v>61</v>
      </c>
      <c r="F21" s="9" t="s">
        <v>62</v>
      </c>
      <c r="G21" s="10">
        <v>4.2699999999999996</v>
      </c>
      <c r="H21" s="11">
        <v>8.5</v>
      </c>
      <c r="I21" s="8" t="s">
        <v>17</v>
      </c>
    </row>
    <row r="22" spans="1:9" ht="12.5">
      <c r="A22" s="8">
        <v>2782446</v>
      </c>
      <c r="B22" s="9" t="s">
        <v>31</v>
      </c>
      <c r="C22" s="9" t="s">
        <v>32</v>
      </c>
      <c r="D22" s="9" t="s">
        <v>63</v>
      </c>
      <c r="E22" s="9" t="s">
        <v>64</v>
      </c>
      <c r="F22" s="9" t="s">
        <v>65</v>
      </c>
      <c r="G22" s="10">
        <v>4.68</v>
      </c>
      <c r="H22" s="11">
        <v>20.9</v>
      </c>
      <c r="I22" s="8" t="s">
        <v>21</v>
      </c>
    </row>
    <row r="23" spans="1:9" ht="12.5">
      <c r="A23" s="8">
        <v>1302260</v>
      </c>
      <c r="B23" s="9" t="s">
        <v>31</v>
      </c>
      <c r="C23" s="9" t="s">
        <v>32</v>
      </c>
      <c r="D23" s="9" t="s">
        <v>66</v>
      </c>
      <c r="E23" s="9" t="s">
        <v>67</v>
      </c>
      <c r="F23" s="9" t="s">
        <v>49</v>
      </c>
      <c r="G23" s="10">
        <v>4.6399999999999997</v>
      </c>
      <c r="H23" s="11">
        <v>4.4000000000000004</v>
      </c>
      <c r="I23" s="8" t="s">
        <v>17</v>
      </c>
    </row>
    <row r="24" spans="1:9" ht="12.5">
      <c r="A24" s="8">
        <v>1342580</v>
      </c>
      <c r="B24" s="9" t="s">
        <v>31</v>
      </c>
      <c r="C24" s="9" t="s">
        <v>37</v>
      </c>
      <c r="D24" s="9" t="s">
        <v>68</v>
      </c>
      <c r="E24" s="9" t="s">
        <v>69</v>
      </c>
      <c r="F24" s="9" t="s">
        <v>49</v>
      </c>
      <c r="G24" s="10">
        <v>4.6500000000000004</v>
      </c>
      <c r="H24" s="11">
        <v>11.4</v>
      </c>
      <c r="I24" s="8" t="s">
        <v>21</v>
      </c>
    </row>
    <row r="25" spans="1:9" ht="12.5">
      <c r="A25" s="8">
        <v>3518494</v>
      </c>
      <c r="B25" s="9" t="s">
        <v>31</v>
      </c>
      <c r="C25" s="9" t="s">
        <v>37</v>
      </c>
      <c r="D25" s="9" t="s">
        <v>70</v>
      </c>
      <c r="E25" s="9" t="s">
        <v>71</v>
      </c>
      <c r="F25" s="9" t="s">
        <v>40</v>
      </c>
      <c r="G25" s="10">
        <v>4.62</v>
      </c>
      <c r="H25" s="11">
        <v>5.4</v>
      </c>
      <c r="I25" s="8" t="s">
        <v>72</v>
      </c>
    </row>
    <row r="26" spans="1:9" ht="12.5">
      <c r="A26" s="8">
        <v>1620090</v>
      </c>
      <c r="B26" s="9" t="s">
        <v>31</v>
      </c>
      <c r="C26" s="9" t="s">
        <v>44</v>
      </c>
      <c r="D26" s="9" t="s">
        <v>73</v>
      </c>
      <c r="E26" s="9" t="s">
        <v>74</v>
      </c>
      <c r="F26" s="9" t="s">
        <v>49</v>
      </c>
      <c r="G26" s="10">
        <v>4.5</v>
      </c>
      <c r="H26" s="11">
        <v>9.8000000000000007</v>
      </c>
      <c r="I26" s="8" t="s">
        <v>21</v>
      </c>
    </row>
    <row r="27" spans="1:9" ht="12.5">
      <c r="A27" s="8">
        <v>1941726</v>
      </c>
      <c r="B27" s="9" t="s">
        <v>31</v>
      </c>
      <c r="C27" s="9" t="s">
        <v>44</v>
      </c>
      <c r="D27" s="9" t="s">
        <v>75</v>
      </c>
      <c r="E27" s="9" t="s">
        <v>76</v>
      </c>
      <c r="F27" s="9" t="s">
        <v>77</v>
      </c>
      <c r="G27" s="10">
        <v>4.5599999999999996</v>
      </c>
      <c r="H27" s="11">
        <v>8</v>
      </c>
      <c r="I27" s="8" t="s">
        <v>21</v>
      </c>
    </row>
    <row r="28" spans="1:9" ht="12.5">
      <c r="A28" s="8">
        <v>1362802</v>
      </c>
      <c r="B28" s="9" t="s">
        <v>31</v>
      </c>
      <c r="C28" s="9" t="s">
        <v>37</v>
      </c>
      <c r="D28" s="9" t="s">
        <v>78</v>
      </c>
      <c r="E28" s="9" t="s">
        <v>79</v>
      </c>
      <c r="F28" s="9" t="s">
        <v>80</v>
      </c>
      <c r="G28" s="10">
        <v>4.49</v>
      </c>
      <c r="H28" s="11">
        <v>3.3</v>
      </c>
      <c r="I28" s="8" t="s">
        <v>17</v>
      </c>
    </row>
    <row r="29" spans="1:9" ht="12.5">
      <c r="A29" s="8">
        <v>2245514</v>
      </c>
      <c r="B29" s="9" t="s">
        <v>31</v>
      </c>
      <c r="C29" s="9" t="s">
        <v>32</v>
      </c>
      <c r="D29" s="9" t="s">
        <v>81</v>
      </c>
      <c r="E29" s="9" t="s">
        <v>82</v>
      </c>
      <c r="F29" s="9" t="s">
        <v>34</v>
      </c>
      <c r="G29" s="10">
        <v>4.24</v>
      </c>
      <c r="H29" s="11">
        <v>11</v>
      </c>
      <c r="I29" s="8" t="s">
        <v>17</v>
      </c>
    </row>
    <row r="30" spans="1:9" ht="12.5">
      <c r="A30" s="8">
        <v>1484459</v>
      </c>
      <c r="B30" s="9" t="s">
        <v>31</v>
      </c>
      <c r="C30" s="9" t="s">
        <v>37</v>
      </c>
      <c r="D30" s="9" t="s">
        <v>83</v>
      </c>
      <c r="E30" s="9" t="s">
        <v>83</v>
      </c>
      <c r="F30" s="9" t="s">
        <v>84</v>
      </c>
      <c r="G30" s="10">
        <v>4.6399999999999997</v>
      </c>
      <c r="H30" s="11">
        <v>4.2</v>
      </c>
      <c r="I30" s="8" t="s">
        <v>21</v>
      </c>
    </row>
    <row r="31" spans="1:9" ht="12.5">
      <c r="A31" s="8">
        <v>1722764</v>
      </c>
      <c r="B31" s="9" t="s">
        <v>31</v>
      </c>
      <c r="C31" s="9" t="s">
        <v>37</v>
      </c>
      <c r="D31" s="9" t="s">
        <v>85</v>
      </c>
      <c r="E31" s="9" t="s">
        <v>86</v>
      </c>
      <c r="F31" s="9" t="s">
        <v>77</v>
      </c>
      <c r="G31" s="10">
        <v>4.7300000000000004</v>
      </c>
      <c r="H31" s="11">
        <v>8.1</v>
      </c>
      <c r="I31" s="8" t="s">
        <v>21</v>
      </c>
    </row>
    <row r="32" spans="1:9" ht="12.5">
      <c r="A32" s="8">
        <v>2783206</v>
      </c>
      <c r="B32" s="9" t="s">
        <v>31</v>
      </c>
      <c r="C32" s="9" t="s">
        <v>37</v>
      </c>
      <c r="D32" s="9" t="s">
        <v>87</v>
      </c>
      <c r="E32" s="9" t="s">
        <v>88</v>
      </c>
      <c r="F32" s="9" t="s">
        <v>89</v>
      </c>
      <c r="G32" s="10">
        <v>4.38</v>
      </c>
      <c r="H32" s="11">
        <v>10.4</v>
      </c>
      <c r="I32" s="8" t="s">
        <v>17</v>
      </c>
    </row>
    <row r="33" spans="1:9" ht="12.5">
      <c r="A33" s="8">
        <v>1534272</v>
      </c>
      <c r="B33" s="9" t="s">
        <v>31</v>
      </c>
      <c r="C33" s="9" t="s">
        <v>37</v>
      </c>
      <c r="D33" s="9" t="s">
        <v>90</v>
      </c>
      <c r="E33" s="9" t="s">
        <v>91</v>
      </c>
      <c r="F33" s="9" t="s">
        <v>92</v>
      </c>
      <c r="G33" s="10">
        <v>4.5199999999999996</v>
      </c>
      <c r="H33" s="11">
        <v>15.2</v>
      </c>
      <c r="I33" s="8" t="s">
        <v>21</v>
      </c>
    </row>
    <row r="34" spans="1:9" ht="12.5">
      <c r="A34" s="8">
        <v>1744818</v>
      </c>
      <c r="B34" s="9" t="s">
        <v>31</v>
      </c>
      <c r="C34" s="9" t="s">
        <v>93</v>
      </c>
      <c r="D34" s="9" t="s">
        <v>94</v>
      </c>
      <c r="E34" s="9" t="s">
        <v>95</v>
      </c>
      <c r="F34" s="9" t="s">
        <v>96</v>
      </c>
      <c r="G34" s="10">
        <v>4.5599999999999996</v>
      </c>
      <c r="H34" s="11">
        <v>2.4</v>
      </c>
      <c r="I34" s="8" t="s">
        <v>72</v>
      </c>
    </row>
    <row r="35" spans="1:9" ht="12.5">
      <c r="A35" s="8">
        <v>3229517</v>
      </c>
      <c r="B35" s="9" t="s">
        <v>31</v>
      </c>
      <c r="C35" s="9" t="s">
        <v>44</v>
      </c>
      <c r="D35" s="9" t="s">
        <v>97</v>
      </c>
      <c r="E35" s="9" t="s">
        <v>98</v>
      </c>
      <c r="F35" s="9" t="s">
        <v>99</v>
      </c>
      <c r="G35" s="10">
        <v>4.57</v>
      </c>
      <c r="H35" s="11">
        <v>2.8</v>
      </c>
      <c r="I35" s="8" t="s">
        <v>21</v>
      </c>
    </row>
    <row r="36" spans="1:9" ht="12.5">
      <c r="A36" s="8">
        <v>2312210</v>
      </c>
      <c r="B36" s="9" t="s">
        <v>31</v>
      </c>
      <c r="C36" s="9" t="s">
        <v>93</v>
      </c>
      <c r="D36" s="9" t="s">
        <v>100</v>
      </c>
      <c r="E36" s="9" t="s">
        <v>100</v>
      </c>
      <c r="F36" s="9" t="s">
        <v>101</v>
      </c>
      <c r="G36" s="10">
        <v>4.75</v>
      </c>
      <c r="H36" s="11">
        <v>1.3</v>
      </c>
      <c r="I36" s="8" t="s">
        <v>17</v>
      </c>
    </row>
    <row r="37" spans="1:9" ht="12.5">
      <c r="A37" s="8">
        <v>1697894</v>
      </c>
      <c r="B37" s="9" t="s">
        <v>102</v>
      </c>
      <c r="C37" s="9" t="s">
        <v>103</v>
      </c>
      <c r="D37" s="9" t="s">
        <v>104</v>
      </c>
      <c r="E37" s="9" t="s">
        <v>105</v>
      </c>
      <c r="F37" s="9" t="s">
        <v>92</v>
      </c>
      <c r="G37" s="10">
        <v>4.7300000000000004</v>
      </c>
      <c r="H37" s="11">
        <v>9.8000000000000007</v>
      </c>
      <c r="I37" s="8" t="s">
        <v>21</v>
      </c>
    </row>
    <row r="38" spans="1:9" ht="12.5">
      <c r="A38" s="8">
        <v>1916784</v>
      </c>
      <c r="B38" s="9" t="s">
        <v>102</v>
      </c>
      <c r="C38" s="9" t="s">
        <v>106</v>
      </c>
      <c r="D38" s="9" t="s">
        <v>107</v>
      </c>
      <c r="E38" s="9" t="s">
        <v>108</v>
      </c>
      <c r="F38" s="9" t="s">
        <v>109</v>
      </c>
      <c r="G38" s="10">
        <v>4.57</v>
      </c>
      <c r="H38" s="11">
        <v>4.0999999999999996</v>
      </c>
      <c r="I38" s="8" t="s">
        <v>21</v>
      </c>
    </row>
    <row r="39" spans="1:9" ht="12.5">
      <c r="A39" s="8">
        <v>1630770</v>
      </c>
      <c r="B39" s="9" t="s">
        <v>102</v>
      </c>
      <c r="C39" s="9" t="s">
        <v>110</v>
      </c>
      <c r="D39" s="9" t="s">
        <v>111</v>
      </c>
      <c r="E39" s="9" t="s">
        <v>112</v>
      </c>
      <c r="F39" s="9" t="s">
        <v>113</v>
      </c>
      <c r="G39" s="10">
        <v>4.6100000000000003</v>
      </c>
      <c r="H39" s="11">
        <v>9.4</v>
      </c>
      <c r="I39" s="8" t="s">
        <v>17</v>
      </c>
    </row>
    <row r="40" spans="1:9" ht="12.5">
      <c r="A40" s="8">
        <v>2393094</v>
      </c>
      <c r="B40" s="9" t="s">
        <v>102</v>
      </c>
      <c r="C40" s="9" t="s">
        <v>106</v>
      </c>
      <c r="D40" s="9" t="s">
        <v>114</v>
      </c>
      <c r="E40" s="9" t="s">
        <v>115</v>
      </c>
      <c r="F40" s="9" t="s">
        <v>109</v>
      </c>
      <c r="G40" s="10">
        <v>4.46</v>
      </c>
      <c r="H40" s="11">
        <v>3.4</v>
      </c>
      <c r="I40" s="8" t="s">
        <v>17</v>
      </c>
    </row>
    <row r="41" spans="1:9" ht="12.5">
      <c r="A41" s="8">
        <v>1547048</v>
      </c>
      <c r="B41" s="9" t="s">
        <v>102</v>
      </c>
      <c r="C41" s="9" t="s">
        <v>116</v>
      </c>
      <c r="D41" s="9" t="s">
        <v>117</v>
      </c>
      <c r="E41" s="9" t="s">
        <v>118</v>
      </c>
      <c r="F41" s="9" t="s">
        <v>113</v>
      </c>
      <c r="G41" s="10">
        <v>4.6900000000000004</v>
      </c>
      <c r="H41" s="11">
        <v>8.8000000000000007</v>
      </c>
      <c r="I41" s="8" t="s">
        <v>17</v>
      </c>
    </row>
    <row r="42" spans="1:9" ht="12.5">
      <c r="A42" s="8">
        <v>1322112</v>
      </c>
      <c r="B42" s="9" t="s">
        <v>102</v>
      </c>
      <c r="C42" s="9" t="s">
        <v>116</v>
      </c>
      <c r="D42" s="9" t="s">
        <v>119</v>
      </c>
      <c r="E42" s="9" t="s">
        <v>120</v>
      </c>
      <c r="F42" s="9" t="s">
        <v>121</v>
      </c>
      <c r="G42" s="10">
        <v>4.5999999999999996</v>
      </c>
      <c r="H42" s="11">
        <v>11.5</v>
      </c>
      <c r="I42" s="8" t="s">
        <v>21</v>
      </c>
    </row>
    <row r="43" spans="1:9" ht="12.5">
      <c r="A43" s="8">
        <v>1770808</v>
      </c>
      <c r="B43" s="9" t="s">
        <v>102</v>
      </c>
      <c r="C43" s="9" t="s">
        <v>116</v>
      </c>
      <c r="D43" s="9" t="s">
        <v>122</v>
      </c>
      <c r="E43" s="9" t="s">
        <v>123</v>
      </c>
      <c r="F43" s="9" t="s">
        <v>124</v>
      </c>
      <c r="G43" s="10">
        <v>4.46</v>
      </c>
      <c r="H43" s="11">
        <v>7.6</v>
      </c>
      <c r="I43" s="8" t="s">
        <v>17</v>
      </c>
    </row>
    <row r="44" spans="1:9" ht="12.5">
      <c r="A44" s="8">
        <v>1262988</v>
      </c>
      <c r="B44" s="9" t="s">
        <v>102</v>
      </c>
      <c r="C44" s="9" t="s">
        <v>103</v>
      </c>
      <c r="D44" s="9" t="s">
        <v>125</v>
      </c>
      <c r="E44" s="9" t="s">
        <v>126</v>
      </c>
      <c r="F44" s="9" t="s">
        <v>109</v>
      </c>
      <c r="G44" s="10">
        <v>4.4800000000000004</v>
      </c>
      <c r="H44" s="11">
        <v>3.5</v>
      </c>
      <c r="I44" s="8" t="s">
        <v>17</v>
      </c>
    </row>
    <row r="45" spans="1:9" ht="12.5">
      <c r="A45" s="8">
        <v>1287692</v>
      </c>
      <c r="B45" s="9" t="s">
        <v>102</v>
      </c>
      <c r="C45" s="9" t="s">
        <v>116</v>
      </c>
      <c r="D45" s="9" t="s">
        <v>127</v>
      </c>
      <c r="E45" s="9" t="s">
        <v>128</v>
      </c>
      <c r="F45" s="9" t="s">
        <v>129</v>
      </c>
      <c r="G45" s="10">
        <v>4.51</v>
      </c>
      <c r="H45" s="11">
        <v>25</v>
      </c>
      <c r="I45" s="8" t="s">
        <v>17</v>
      </c>
    </row>
    <row r="46" spans="1:9" ht="12.5">
      <c r="A46" s="8">
        <v>1460572</v>
      </c>
      <c r="B46" s="9" t="s">
        <v>102</v>
      </c>
      <c r="C46" s="9" t="s">
        <v>110</v>
      </c>
      <c r="D46" s="9" t="s">
        <v>130</v>
      </c>
      <c r="E46" s="9" t="s">
        <v>131</v>
      </c>
      <c r="F46" s="9" t="s">
        <v>132</v>
      </c>
      <c r="G46" s="10">
        <v>4.42</v>
      </c>
      <c r="H46" s="11">
        <v>2.7</v>
      </c>
      <c r="I46" s="8" t="s">
        <v>17</v>
      </c>
    </row>
    <row r="47" spans="1:9" ht="12.5">
      <c r="A47" s="8">
        <v>2402946</v>
      </c>
      <c r="B47" s="9" t="s">
        <v>102</v>
      </c>
      <c r="C47" s="9" t="s">
        <v>116</v>
      </c>
      <c r="D47" s="9" t="s">
        <v>133</v>
      </c>
      <c r="E47" s="9" t="s">
        <v>134</v>
      </c>
      <c r="F47" s="9" t="s">
        <v>135</v>
      </c>
      <c r="G47" s="10">
        <v>4.74</v>
      </c>
      <c r="H47" s="11">
        <v>2.2000000000000002</v>
      </c>
      <c r="I47" s="8" t="s">
        <v>17</v>
      </c>
    </row>
    <row r="48" spans="1:9" ht="12.5">
      <c r="A48" s="8">
        <v>2275925</v>
      </c>
      <c r="B48" s="9" t="s">
        <v>102</v>
      </c>
      <c r="C48" s="9" t="s">
        <v>110</v>
      </c>
      <c r="D48" s="9" t="s">
        <v>136</v>
      </c>
      <c r="E48" s="9" t="s">
        <v>137</v>
      </c>
      <c r="F48" s="9" t="s">
        <v>113</v>
      </c>
      <c r="G48" s="10">
        <v>4.2300000000000004</v>
      </c>
      <c r="H48" s="11">
        <v>16.7</v>
      </c>
      <c r="I48" s="8" t="s">
        <v>17</v>
      </c>
    </row>
    <row r="49" spans="1:9" ht="12.5">
      <c r="A49" s="8">
        <v>2456562</v>
      </c>
      <c r="B49" s="9" t="s">
        <v>102</v>
      </c>
      <c r="C49" s="9" t="s">
        <v>116</v>
      </c>
      <c r="D49" s="9" t="s">
        <v>138</v>
      </c>
      <c r="E49" s="9" t="s">
        <v>139</v>
      </c>
      <c r="F49" s="9" t="s">
        <v>140</v>
      </c>
      <c r="G49" s="10">
        <v>4.88</v>
      </c>
      <c r="H49" s="11">
        <v>2.7</v>
      </c>
      <c r="I49" s="8" t="s">
        <v>21</v>
      </c>
    </row>
    <row r="50" spans="1:9" ht="12.5">
      <c r="A50" s="8">
        <v>1068574</v>
      </c>
      <c r="B50" s="9" t="s">
        <v>102</v>
      </c>
      <c r="C50" s="9" t="s">
        <v>116</v>
      </c>
      <c r="D50" s="9" t="s">
        <v>141</v>
      </c>
      <c r="E50" s="9" t="s">
        <v>142</v>
      </c>
      <c r="F50" s="9" t="s">
        <v>124</v>
      </c>
      <c r="G50" s="10">
        <v>4.4400000000000004</v>
      </c>
      <c r="H50" s="11">
        <v>1.9</v>
      </c>
      <c r="I50" s="8" t="s">
        <v>17</v>
      </c>
    </row>
    <row r="51" spans="1:9" ht="12.5">
      <c r="A51" s="8">
        <v>1597028</v>
      </c>
      <c r="B51" s="9" t="s">
        <v>102</v>
      </c>
      <c r="C51" s="9" t="s">
        <v>110</v>
      </c>
      <c r="D51" s="9" t="s">
        <v>143</v>
      </c>
      <c r="E51" s="9" t="s">
        <v>144</v>
      </c>
      <c r="F51" s="9" t="s">
        <v>113</v>
      </c>
      <c r="G51" s="10">
        <v>4.74</v>
      </c>
      <c r="H51" s="11">
        <v>10.1</v>
      </c>
      <c r="I51" s="8" t="s">
        <v>17</v>
      </c>
    </row>
    <row r="52" spans="1:9" ht="12.5">
      <c r="A52" s="8">
        <v>2362148</v>
      </c>
      <c r="B52" s="9" t="s">
        <v>102</v>
      </c>
      <c r="C52" s="9" t="s">
        <v>116</v>
      </c>
      <c r="D52" s="9" t="s">
        <v>145</v>
      </c>
      <c r="E52" s="9" t="s">
        <v>146</v>
      </c>
      <c r="F52" s="9" t="s">
        <v>147</v>
      </c>
      <c r="G52" s="10">
        <v>3.98</v>
      </c>
      <c r="H52" s="11">
        <v>4.7</v>
      </c>
      <c r="I52" s="8" t="s">
        <v>21</v>
      </c>
    </row>
    <row r="53" spans="1:9" ht="12.5">
      <c r="A53" s="8">
        <v>951948</v>
      </c>
      <c r="B53" s="9" t="s">
        <v>102</v>
      </c>
      <c r="C53" s="9" t="s">
        <v>116</v>
      </c>
      <c r="D53" s="9" t="s">
        <v>148</v>
      </c>
      <c r="E53" s="9" t="s">
        <v>149</v>
      </c>
      <c r="F53" s="9" t="s">
        <v>150</v>
      </c>
      <c r="G53" s="10">
        <v>4.0999999999999996</v>
      </c>
      <c r="H53" s="11">
        <v>6.6</v>
      </c>
      <c r="I53" s="8" t="s">
        <v>17</v>
      </c>
    </row>
    <row r="54" spans="1:9" ht="12.5">
      <c r="A54" s="8">
        <v>1348478</v>
      </c>
      <c r="B54" s="9" t="s">
        <v>102</v>
      </c>
      <c r="C54" s="9" t="s">
        <v>116</v>
      </c>
      <c r="D54" s="9" t="s">
        <v>151</v>
      </c>
      <c r="E54" s="9" t="s">
        <v>152</v>
      </c>
      <c r="F54" s="9" t="s">
        <v>153</v>
      </c>
      <c r="G54" s="10">
        <v>4.55</v>
      </c>
      <c r="H54" s="11">
        <v>7.4</v>
      </c>
      <c r="I54" s="8" t="s">
        <v>17</v>
      </c>
    </row>
    <row r="55" spans="1:9" ht="12.5">
      <c r="A55" s="8">
        <v>1544922</v>
      </c>
      <c r="B55" s="9" t="s">
        <v>102</v>
      </c>
      <c r="C55" s="9" t="s">
        <v>103</v>
      </c>
      <c r="D55" s="9" t="s">
        <v>154</v>
      </c>
      <c r="E55" s="9" t="s">
        <v>155</v>
      </c>
      <c r="F55" s="9" t="s">
        <v>109</v>
      </c>
      <c r="G55" s="10">
        <v>4.46</v>
      </c>
      <c r="H55" s="11">
        <v>6.4</v>
      </c>
      <c r="I55" s="8" t="s">
        <v>17</v>
      </c>
    </row>
    <row r="56" spans="1:9" ht="12.5">
      <c r="A56" s="8">
        <v>1556260</v>
      </c>
      <c r="B56" s="9" t="s">
        <v>102</v>
      </c>
      <c r="C56" s="9" t="s">
        <v>103</v>
      </c>
      <c r="D56" s="9" t="s">
        <v>156</v>
      </c>
      <c r="E56" s="9" t="s">
        <v>157</v>
      </c>
      <c r="F56" s="9" t="s">
        <v>158</v>
      </c>
      <c r="G56" s="10">
        <v>4.6900000000000004</v>
      </c>
      <c r="H56" s="11">
        <v>2.6</v>
      </c>
      <c r="I56" s="8" t="s">
        <v>21</v>
      </c>
    </row>
    <row r="57" spans="1:9" ht="12.5">
      <c r="A57" s="8">
        <v>1645472</v>
      </c>
      <c r="B57" s="9" t="s">
        <v>102</v>
      </c>
      <c r="C57" s="9" t="s">
        <v>116</v>
      </c>
      <c r="D57" s="9" t="s">
        <v>159</v>
      </c>
      <c r="E57" s="9" t="s">
        <v>160</v>
      </c>
      <c r="F57" s="9" t="s">
        <v>113</v>
      </c>
      <c r="G57" s="10">
        <v>4.37</v>
      </c>
      <c r="H57" s="11">
        <v>10.6</v>
      </c>
      <c r="I57" s="8" t="s">
        <v>72</v>
      </c>
    </row>
    <row r="58" spans="1:9" ht="12.5">
      <c r="A58" s="8">
        <v>2383702</v>
      </c>
      <c r="B58" s="9" t="s">
        <v>102</v>
      </c>
      <c r="C58" s="9" t="s">
        <v>116</v>
      </c>
      <c r="D58" s="9" t="s">
        <v>161</v>
      </c>
      <c r="E58" s="9" t="s">
        <v>162</v>
      </c>
      <c r="F58" s="9" t="s">
        <v>163</v>
      </c>
      <c r="G58" s="10">
        <v>4.67</v>
      </c>
      <c r="H58" s="11">
        <v>33.1</v>
      </c>
      <c r="I58" s="8" t="s">
        <v>17</v>
      </c>
    </row>
    <row r="59" spans="1:9" ht="12.5">
      <c r="A59" s="8">
        <v>2552319</v>
      </c>
      <c r="B59" s="9" t="s">
        <v>102</v>
      </c>
      <c r="C59" s="9" t="s">
        <v>116</v>
      </c>
      <c r="D59" s="9" t="s">
        <v>164</v>
      </c>
      <c r="E59" s="9" t="s">
        <v>165</v>
      </c>
      <c r="F59" s="9" t="s">
        <v>166</v>
      </c>
      <c r="G59" s="10">
        <v>4.2300000000000004</v>
      </c>
      <c r="H59" s="11">
        <v>2.2000000000000002</v>
      </c>
      <c r="I59" s="8" t="s">
        <v>17</v>
      </c>
    </row>
    <row r="60" spans="1:9" ht="12.5">
      <c r="A60" s="8">
        <v>1496634</v>
      </c>
      <c r="B60" s="9" t="s">
        <v>102</v>
      </c>
      <c r="C60" s="9" t="s">
        <v>110</v>
      </c>
      <c r="D60" s="9" t="s">
        <v>167</v>
      </c>
      <c r="E60" s="9" t="s">
        <v>168</v>
      </c>
      <c r="F60" s="9" t="s">
        <v>169</v>
      </c>
      <c r="G60" s="10">
        <v>4.22</v>
      </c>
      <c r="H60" s="11">
        <v>10.3</v>
      </c>
      <c r="I60" s="8" t="s">
        <v>17</v>
      </c>
    </row>
    <row r="61" spans="1:9" ht="12.5">
      <c r="A61" s="8">
        <v>1916866</v>
      </c>
      <c r="B61" s="9" t="s">
        <v>102</v>
      </c>
      <c r="C61" s="9" t="s">
        <v>116</v>
      </c>
      <c r="D61" s="9" t="s">
        <v>170</v>
      </c>
      <c r="E61" s="9" t="s">
        <v>171</v>
      </c>
      <c r="F61" s="9" t="s">
        <v>172</v>
      </c>
      <c r="G61" s="10">
        <v>3.9</v>
      </c>
      <c r="H61" s="11">
        <v>7.6</v>
      </c>
      <c r="I61" s="8" t="s">
        <v>21</v>
      </c>
    </row>
    <row r="62" spans="1:9" ht="12.5">
      <c r="A62" s="8">
        <v>2252868</v>
      </c>
      <c r="B62" s="9" t="s">
        <v>102</v>
      </c>
      <c r="C62" s="9" t="s">
        <v>116</v>
      </c>
      <c r="D62" s="9" t="s">
        <v>173</v>
      </c>
      <c r="E62" s="9" t="s">
        <v>174</v>
      </c>
      <c r="F62" s="9" t="s">
        <v>175</v>
      </c>
      <c r="G62" s="10">
        <v>4.84</v>
      </c>
      <c r="H62" s="11">
        <v>3.4</v>
      </c>
      <c r="I62" s="8" t="s">
        <v>17</v>
      </c>
    </row>
    <row r="63" spans="1:9" ht="12.5">
      <c r="A63" s="8">
        <v>2375834</v>
      </c>
      <c r="B63" s="9" t="s">
        <v>102</v>
      </c>
      <c r="C63" s="9" t="s">
        <v>110</v>
      </c>
      <c r="D63" s="9" t="s">
        <v>176</v>
      </c>
      <c r="E63" s="9" t="s">
        <v>177</v>
      </c>
      <c r="F63" s="9" t="s">
        <v>178</v>
      </c>
      <c r="G63" s="10">
        <v>4.13</v>
      </c>
      <c r="H63" s="11">
        <v>9.1999999999999993</v>
      </c>
      <c r="I63" s="8" t="s">
        <v>21</v>
      </c>
    </row>
    <row r="64" spans="1:9" ht="12.5">
      <c r="A64" s="8">
        <v>2445156</v>
      </c>
      <c r="B64" s="9" t="s">
        <v>102</v>
      </c>
      <c r="C64" s="9" t="s">
        <v>116</v>
      </c>
      <c r="D64" s="9" t="s">
        <v>179</v>
      </c>
      <c r="E64" s="9" t="s">
        <v>180</v>
      </c>
      <c r="F64" s="9" t="s">
        <v>181</v>
      </c>
      <c r="G64" s="10">
        <v>4.12</v>
      </c>
      <c r="H64" s="11">
        <v>1.4</v>
      </c>
      <c r="I64" s="8" t="s">
        <v>21</v>
      </c>
    </row>
    <row r="65" spans="1:9" ht="12.5">
      <c r="A65" s="8">
        <v>2757190</v>
      </c>
      <c r="B65" s="9" t="s">
        <v>102</v>
      </c>
      <c r="C65" s="9" t="s">
        <v>116</v>
      </c>
      <c r="D65" s="9" t="s">
        <v>182</v>
      </c>
      <c r="E65" s="9" t="s">
        <v>183</v>
      </c>
      <c r="F65" s="9" t="s">
        <v>184</v>
      </c>
      <c r="G65" s="10">
        <v>4.43</v>
      </c>
      <c r="H65" s="11">
        <v>4</v>
      </c>
      <c r="I65" s="8" t="s">
        <v>17</v>
      </c>
    </row>
    <row r="66" spans="1:9" ht="12.5">
      <c r="A66" s="8">
        <v>957788</v>
      </c>
      <c r="B66" s="9" t="s">
        <v>102</v>
      </c>
      <c r="C66" s="9" t="s">
        <v>116</v>
      </c>
      <c r="D66" s="9" t="s">
        <v>185</v>
      </c>
      <c r="E66" s="9" t="s">
        <v>186</v>
      </c>
      <c r="F66" s="9" t="s">
        <v>187</v>
      </c>
      <c r="G66" s="10">
        <v>4.67</v>
      </c>
      <c r="H66" s="11">
        <v>4.9000000000000004</v>
      </c>
      <c r="I66" s="8" t="s">
        <v>17</v>
      </c>
    </row>
    <row r="67" spans="1:9" ht="12.5">
      <c r="A67" s="8">
        <v>1544514</v>
      </c>
      <c r="B67" s="9" t="s">
        <v>102</v>
      </c>
      <c r="C67" s="9" t="s">
        <v>116</v>
      </c>
      <c r="D67" s="9" t="s">
        <v>188</v>
      </c>
      <c r="E67" s="9" t="s">
        <v>189</v>
      </c>
      <c r="F67" s="9" t="s">
        <v>129</v>
      </c>
      <c r="G67" s="10">
        <v>4.6100000000000003</v>
      </c>
      <c r="H67" s="11">
        <v>10.3</v>
      </c>
      <c r="I67" s="8" t="s">
        <v>17</v>
      </c>
    </row>
    <row r="68" spans="1:9" ht="12.5">
      <c r="A68" s="8">
        <v>1561024</v>
      </c>
      <c r="B68" s="9" t="s">
        <v>102</v>
      </c>
      <c r="C68" s="9" t="s">
        <v>110</v>
      </c>
      <c r="D68" s="9" t="s">
        <v>190</v>
      </c>
      <c r="E68" s="9" t="s">
        <v>191</v>
      </c>
      <c r="F68" s="9" t="s">
        <v>113</v>
      </c>
      <c r="G68" s="10">
        <v>4.41</v>
      </c>
      <c r="H68" s="11">
        <v>5.6</v>
      </c>
      <c r="I68" s="8" t="s">
        <v>21</v>
      </c>
    </row>
    <row r="69" spans="1:9" ht="12.5">
      <c r="A69" s="8">
        <v>2006786</v>
      </c>
      <c r="B69" s="9" t="s">
        <v>102</v>
      </c>
      <c r="C69" s="9" t="s">
        <v>192</v>
      </c>
      <c r="D69" s="9" t="s">
        <v>193</v>
      </c>
      <c r="E69" s="9" t="s">
        <v>194</v>
      </c>
      <c r="F69" s="9" t="s">
        <v>129</v>
      </c>
      <c r="G69" s="10">
        <v>4.84</v>
      </c>
      <c r="H69" s="11">
        <v>6.3</v>
      </c>
      <c r="I69" s="8" t="s">
        <v>17</v>
      </c>
    </row>
    <row r="70" spans="1:9" ht="12.5">
      <c r="A70" s="8">
        <v>2080654</v>
      </c>
      <c r="B70" s="9" t="s">
        <v>102</v>
      </c>
      <c r="C70" s="9" t="s">
        <v>110</v>
      </c>
      <c r="D70" s="9" t="s">
        <v>195</v>
      </c>
      <c r="E70" s="9" t="s">
        <v>196</v>
      </c>
      <c r="F70" s="9" t="s">
        <v>113</v>
      </c>
      <c r="G70" s="10">
        <v>4.68</v>
      </c>
      <c r="H70" s="11">
        <v>9</v>
      </c>
      <c r="I70" s="8" t="s">
        <v>17</v>
      </c>
    </row>
    <row r="71" spans="1:9" ht="12.5">
      <c r="A71" s="8">
        <v>2167962</v>
      </c>
      <c r="B71" s="9" t="s">
        <v>102</v>
      </c>
      <c r="C71" s="9" t="s">
        <v>192</v>
      </c>
      <c r="D71" s="9" t="s">
        <v>197</v>
      </c>
      <c r="E71" s="9" t="s">
        <v>198</v>
      </c>
      <c r="F71" s="9" t="s">
        <v>163</v>
      </c>
      <c r="G71" s="10">
        <v>4.74</v>
      </c>
      <c r="H71" s="11">
        <v>7.9</v>
      </c>
      <c r="I71" s="8" t="s">
        <v>17</v>
      </c>
    </row>
    <row r="72" spans="1:9" ht="12.5">
      <c r="A72" s="8">
        <v>2214714</v>
      </c>
      <c r="B72" s="9" t="s">
        <v>102</v>
      </c>
      <c r="C72" s="9" t="s">
        <v>110</v>
      </c>
      <c r="D72" s="9" t="s">
        <v>199</v>
      </c>
      <c r="E72" s="9" t="s">
        <v>200</v>
      </c>
      <c r="F72" s="9" t="s">
        <v>178</v>
      </c>
      <c r="G72" s="10">
        <v>4.5199999999999996</v>
      </c>
      <c r="H72" s="11">
        <v>9.6</v>
      </c>
      <c r="I72" s="8" t="s">
        <v>21</v>
      </c>
    </row>
    <row r="73" spans="1:9" ht="12.5">
      <c r="A73" s="8">
        <v>2989874</v>
      </c>
      <c r="B73" s="9" t="s">
        <v>102</v>
      </c>
      <c r="C73" s="9" t="s">
        <v>116</v>
      </c>
      <c r="D73" s="9" t="s">
        <v>201</v>
      </c>
      <c r="E73" s="9" t="s">
        <v>201</v>
      </c>
      <c r="F73" s="9" t="s">
        <v>202</v>
      </c>
      <c r="G73" s="10">
        <v>4.47</v>
      </c>
      <c r="H73" s="11">
        <v>19.5</v>
      </c>
      <c r="I73" s="8" t="s">
        <v>21</v>
      </c>
    </row>
    <row r="74" spans="1:9" ht="12.5">
      <c r="A74" s="8">
        <v>3050586</v>
      </c>
      <c r="B74" s="9" t="s">
        <v>102</v>
      </c>
      <c r="C74" s="9" t="s">
        <v>110</v>
      </c>
      <c r="D74" s="9" t="s">
        <v>203</v>
      </c>
      <c r="E74" s="9" t="s">
        <v>204</v>
      </c>
      <c r="F74" s="9" t="s">
        <v>113</v>
      </c>
      <c r="G74" s="10">
        <v>4.8499999999999996</v>
      </c>
      <c r="H74" s="11">
        <v>6.3</v>
      </c>
      <c r="I74" s="8" t="s">
        <v>17</v>
      </c>
    </row>
    <row r="75" spans="1:9" ht="12.5">
      <c r="A75" s="8">
        <v>994420</v>
      </c>
      <c r="B75" s="9" t="s">
        <v>102</v>
      </c>
      <c r="C75" s="9" t="s">
        <v>103</v>
      </c>
      <c r="D75" s="9" t="s">
        <v>205</v>
      </c>
      <c r="E75" s="9" t="s">
        <v>206</v>
      </c>
      <c r="F75" s="9" t="s">
        <v>207</v>
      </c>
      <c r="G75" s="10">
        <v>4.3899999999999997</v>
      </c>
      <c r="H75" s="11">
        <v>2.7</v>
      </c>
      <c r="I75" s="8" t="s">
        <v>17</v>
      </c>
    </row>
    <row r="76" spans="1:9" ht="12.5">
      <c r="A76" s="8">
        <v>1692918</v>
      </c>
      <c r="B76" s="9" t="s">
        <v>102</v>
      </c>
      <c r="C76" s="9" t="s">
        <v>106</v>
      </c>
      <c r="D76" s="9" t="s">
        <v>208</v>
      </c>
      <c r="E76" s="9" t="s">
        <v>209</v>
      </c>
      <c r="F76" s="9" t="s">
        <v>109</v>
      </c>
      <c r="G76" s="10">
        <v>4.54</v>
      </c>
      <c r="H76" s="11">
        <v>4.9000000000000004</v>
      </c>
      <c r="I76" s="8" t="s">
        <v>17</v>
      </c>
    </row>
    <row r="77" spans="1:9" ht="12.5">
      <c r="A77" s="8">
        <v>1836564</v>
      </c>
      <c r="B77" s="9" t="s">
        <v>102</v>
      </c>
      <c r="C77" s="9" t="s">
        <v>110</v>
      </c>
      <c r="D77" s="9" t="s">
        <v>210</v>
      </c>
      <c r="E77" s="9" t="s">
        <v>211</v>
      </c>
      <c r="F77" s="9" t="s">
        <v>113</v>
      </c>
      <c r="G77" s="10">
        <v>4.53</v>
      </c>
      <c r="H77" s="11">
        <v>6.9</v>
      </c>
      <c r="I77" s="8" t="s">
        <v>21</v>
      </c>
    </row>
    <row r="78" spans="1:9" ht="12.5">
      <c r="A78" s="8">
        <v>2216764</v>
      </c>
      <c r="B78" s="9" t="s">
        <v>102</v>
      </c>
      <c r="C78" s="9" t="s">
        <v>192</v>
      </c>
      <c r="D78" s="9" t="s">
        <v>212</v>
      </c>
      <c r="E78" s="9" t="s">
        <v>213</v>
      </c>
      <c r="F78" s="9" t="s">
        <v>178</v>
      </c>
      <c r="G78" s="10">
        <v>4.34</v>
      </c>
      <c r="H78" s="11">
        <v>6.8</v>
      </c>
      <c r="I78" s="8" t="s">
        <v>17</v>
      </c>
    </row>
    <row r="79" spans="1:9" ht="12.5">
      <c r="A79" s="8">
        <v>2714540</v>
      </c>
      <c r="B79" s="9" t="s">
        <v>102</v>
      </c>
      <c r="C79" s="9" t="s">
        <v>192</v>
      </c>
      <c r="D79" s="9" t="s">
        <v>214</v>
      </c>
      <c r="E79" s="9" t="s">
        <v>215</v>
      </c>
      <c r="F79" s="9" t="s">
        <v>163</v>
      </c>
      <c r="G79" s="10">
        <v>4.7699999999999996</v>
      </c>
      <c r="H79" s="11">
        <v>8.6999999999999993</v>
      </c>
      <c r="I79" s="8" t="s">
        <v>17</v>
      </c>
    </row>
    <row r="80" spans="1:9" ht="12.5">
      <c r="A80" s="8">
        <v>2875968</v>
      </c>
      <c r="B80" s="9" t="s">
        <v>102</v>
      </c>
      <c r="C80" s="9" t="s">
        <v>116</v>
      </c>
      <c r="D80" s="9" t="s">
        <v>216</v>
      </c>
      <c r="E80" s="9" t="s">
        <v>217</v>
      </c>
      <c r="F80" s="9" t="s">
        <v>178</v>
      </c>
      <c r="G80" s="10">
        <v>4.6900000000000004</v>
      </c>
      <c r="H80" s="11">
        <v>8.6999999999999993</v>
      </c>
      <c r="I80" s="8" t="s">
        <v>21</v>
      </c>
    </row>
    <row r="81" spans="1:9" ht="12.5">
      <c r="A81" s="8">
        <v>3248258</v>
      </c>
      <c r="B81" s="9" t="s">
        <v>102</v>
      </c>
      <c r="C81" s="9" t="s">
        <v>116</v>
      </c>
      <c r="D81" s="9" t="s">
        <v>218</v>
      </c>
      <c r="E81" s="9" t="s">
        <v>219</v>
      </c>
      <c r="F81" s="9" t="s">
        <v>129</v>
      </c>
      <c r="G81" s="10">
        <v>4.79</v>
      </c>
      <c r="H81" s="11">
        <v>3.4</v>
      </c>
      <c r="I81" s="8" t="s">
        <v>72</v>
      </c>
    </row>
    <row r="82" spans="1:9" ht="12.5">
      <c r="A82" s="8">
        <v>2004612</v>
      </c>
      <c r="B82" s="9" t="s">
        <v>102</v>
      </c>
      <c r="C82" s="9" t="s">
        <v>116</v>
      </c>
      <c r="D82" s="9" t="s">
        <v>220</v>
      </c>
      <c r="E82" s="9" t="s">
        <v>221</v>
      </c>
      <c r="F82" s="9" t="s">
        <v>113</v>
      </c>
      <c r="G82" s="10">
        <v>4.3499999999999996</v>
      </c>
      <c r="H82" s="11">
        <v>7</v>
      </c>
      <c r="I82" s="8" t="s">
        <v>17</v>
      </c>
    </row>
    <row r="83" spans="1:9" ht="12.5">
      <c r="A83" s="8">
        <v>2402854</v>
      </c>
      <c r="B83" s="9" t="s">
        <v>102</v>
      </c>
      <c r="C83" s="9" t="s">
        <v>110</v>
      </c>
      <c r="D83" s="9" t="s">
        <v>222</v>
      </c>
      <c r="E83" s="9" t="s">
        <v>223</v>
      </c>
      <c r="F83" s="9" t="s">
        <v>224</v>
      </c>
      <c r="G83" s="10">
        <v>4.3099999999999996</v>
      </c>
      <c r="H83" s="11">
        <v>8</v>
      </c>
      <c r="I83" s="8" t="s">
        <v>21</v>
      </c>
    </row>
    <row r="84" spans="1:9" ht="12.5">
      <c r="A84" s="8">
        <v>2281794</v>
      </c>
      <c r="B84" s="9" t="s">
        <v>225</v>
      </c>
      <c r="C84" s="9" t="s">
        <v>226</v>
      </c>
      <c r="D84" s="9" t="s">
        <v>227</v>
      </c>
      <c r="E84" s="9" t="s">
        <v>228</v>
      </c>
      <c r="F84" s="9" t="s">
        <v>150</v>
      </c>
      <c r="G84" s="10">
        <v>4.67</v>
      </c>
      <c r="H84" s="11">
        <v>11.9</v>
      </c>
      <c r="I84" s="8" t="s">
        <v>21</v>
      </c>
    </row>
    <row r="85" spans="1:9" ht="12.5">
      <c r="A85" s="8">
        <v>1311566</v>
      </c>
      <c r="B85" s="9" t="s">
        <v>225</v>
      </c>
      <c r="C85" s="9" t="s">
        <v>229</v>
      </c>
      <c r="D85" s="9" t="s">
        <v>230</v>
      </c>
      <c r="E85" s="9" t="s">
        <v>230</v>
      </c>
      <c r="F85" s="9" t="s">
        <v>231</v>
      </c>
      <c r="G85" s="10">
        <v>4.55</v>
      </c>
      <c r="H85" s="11">
        <v>4.9000000000000004</v>
      </c>
      <c r="I85" s="8" t="s">
        <v>17</v>
      </c>
    </row>
    <row r="86" spans="1:9" ht="12.5">
      <c r="A86" s="8">
        <v>2978660</v>
      </c>
      <c r="B86" s="9" t="s">
        <v>225</v>
      </c>
      <c r="C86" s="9" t="s">
        <v>229</v>
      </c>
      <c r="D86" s="9" t="s">
        <v>232</v>
      </c>
      <c r="E86" s="9" t="s">
        <v>233</v>
      </c>
      <c r="F86" s="9" t="s">
        <v>234</v>
      </c>
      <c r="G86" s="10">
        <v>4.2300000000000004</v>
      </c>
      <c r="H86" s="11">
        <v>2.7</v>
      </c>
      <c r="I86" s="8" t="s">
        <v>21</v>
      </c>
    </row>
    <row r="87" spans="1:9" ht="12.5">
      <c r="A87" s="8">
        <v>805992</v>
      </c>
      <c r="B87" s="9" t="s">
        <v>225</v>
      </c>
      <c r="C87" s="9" t="s">
        <v>235</v>
      </c>
      <c r="D87" s="9" t="s">
        <v>236</v>
      </c>
      <c r="E87" s="9" t="s">
        <v>237</v>
      </c>
      <c r="F87" s="9" t="s">
        <v>238</v>
      </c>
      <c r="G87" s="10">
        <v>4.53</v>
      </c>
      <c r="H87" s="11">
        <v>37.799999999999997</v>
      </c>
      <c r="I87" s="8" t="s">
        <v>21</v>
      </c>
    </row>
    <row r="88" spans="1:9" ht="12.5">
      <c r="A88" s="8">
        <v>1664608</v>
      </c>
      <c r="B88" s="9" t="s">
        <v>225</v>
      </c>
      <c r="C88" s="9" t="s">
        <v>229</v>
      </c>
      <c r="D88" s="9" t="s">
        <v>239</v>
      </c>
      <c r="E88" s="9" t="s">
        <v>240</v>
      </c>
      <c r="F88" s="9" t="s">
        <v>241</v>
      </c>
      <c r="G88" s="10">
        <v>4.6100000000000003</v>
      </c>
      <c r="H88" s="11">
        <v>3.6</v>
      </c>
      <c r="I88" s="8" t="s">
        <v>21</v>
      </c>
    </row>
    <row r="89" spans="1:9" ht="12.5">
      <c r="A89" s="8">
        <v>1231776</v>
      </c>
      <c r="B89" s="9" t="s">
        <v>225</v>
      </c>
      <c r="C89" s="9" t="s">
        <v>229</v>
      </c>
      <c r="D89" s="9" t="s">
        <v>242</v>
      </c>
      <c r="E89" s="9" t="s">
        <v>243</v>
      </c>
      <c r="F89" s="9" t="s">
        <v>231</v>
      </c>
      <c r="G89" s="10">
        <v>4.55</v>
      </c>
      <c r="H89" s="11">
        <v>5.9</v>
      </c>
      <c r="I89" s="8" t="s">
        <v>17</v>
      </c>
    </row>
    <row r="90" spans="1:9" ht="12.5">
      <c r="A90" s="8">
        <v>960928</v>
      </c>
      <c r="B90" s="9" t="s">
        <v>225</v>
      </c>
      <c r="C90" s="9" t="s">
        <v>235</v>
      </c>
      <c r="D90" s="9" t="s">
        <v>244</v>
      </c>
      <c r="E90" s="9" t="s">
        <v>245</v>
      </c>
      <c r="F90" s="9" t="s">
        <v>246</v>
      </c>
      <c r="G90" s="10">
        <v>4.3099999999999996</v>
      </c>
      <c r="H90" s="11">
        <v>6.5</v>
      </c>
      <c r="I90" s="8" t="s">
        <v>17</v>
      </c>
    </row>
    <row r="91" spans="1:9" ht="12.5">
      <c r="A91" s="8">
        <v>1869672</v>
      </c>
      <c r="B91" s="9" t="s">
        <v>225</v>
      </c>
      <c r="C91" s="9" t="s">
        <v>229</v>
      </c>
      <c r="D91" s="9" t="s">
        <v>247</v>
      </c>
      <c r="E91" s="9" t="s">
        <v>248</v>
      </c>
      <c r="F91" s="9" t="s">
        <v>249</v>
      </c>
      <c r="G91" s="10">
        <v>4.66</v>
      </c>
      <c r="H91" s="11">
        <v>3.1</v>
      </c>
      <c r="I91" s="8" t="s">
        <v>17</v>
      </c>
    </row>
    <row r="92" spans="1:9" ht="12.5">
      <c r="A92" s="8">
        <v>2702436</v>
      </c>
      <c r="B92" s="9" t="s">
        <v>225</v>
      </c>
      <c r="C92" s="9" t="s">
        <v>229</v>
      </c>
      <c r="D92" s="9" t="s">
        <v>250</v>
      </c>
      <c r="E92" s="9" t="s">
        <v>251</v>
      </c>
      <c r="F92" s="9" t="s">
        <v>234</v>
      </c>
      <c r="G92" s="10">
        <v>4.51</v>
      </c>
      <c r="H92" s="11">
        <v>4.3</v>
      </c>
      <c r="I92" s="8" t="s">
        <v>21</v>
      </c>
    </row>
    <row r="93" spans="1:9" ht="12.5">
      <c r="A93" s="8">
        <v>1198730</v>
      </c>
      <c r="B93" s="9" t="s">
        <v>225</v>
      </c>
      <c r="C93" s="9" t="s">
        <v>235</v>
      </c>
      <c r="D93" s="9" t="s">
        <v>252</v>
      </c>
      <c r="E93" s="9" t="s">
        <v>253</v>
      </c>
      <c r="F93" s="9" t="s">
        <v>254</v>
      </c>
      <c r="G93" s="10">
        <v>4.6399999999999997</v>
      </c>
      <c r="H93" s="11">
        <v>10.1</v>
      </c>
      <c r="I93" s="8" t="s">
        <v>72</v>
      </c>
    </row>
    <row r="94" spans="1:9" ht="12.5">
      <c r="A94" s="8">
        <v>1003242</v>
      </c>
      <c r="B94" s="9" t="s">
        <v>225</v>
      </c>
      <c r="C94" s="9" t="s">
        <v>226</v>
      </c>
      <c r="D94" s="9" t="s">
        <v>255</v>
      </c>
      <c r="E94" s="9" t="s">
        <v>256</v>
      </c>
      <c r="F94" s="9" t="s">
        <v>254</v>
      </c>
      <c r="G94" s="10">
        <v>4.6100000000000003</v>
      </c>
      <c r="H94" s="11">
        <v>12.2</v>
      </c>
      <c r="I94" s="8" t="s">
        <v>17</v>
      </c>
    </row>
    <row r="95" spans="1:9" ht="12.5">
      <c r="A95" s="8">
        <v>3080764</v>
      </c>
      <c r="B95" s="9" t="s">
        <v>225</v>
      </c>
      <c r="C95" s="9" t="s">
        <v>229</v>
      </c>
      <c r="D95" s="9" t="s">
        <v>257</v>
      </c>
      <c r="E95" s="9" t="s">
        <v>258</v>
      </c>
      <c r="F95" s="9" t="s">
        <v>241</v>
      </c>
      <c r="G95" s="10">
        <v>4.47</v>
      </c>
      <c r="H95" s="11">
        <v>3.9</v>
      </c>
      <c r="I95" s="8" t="s">
        <v>259</v>
      </c>
    </row>
    <row r="96" spans="1:9" ht="12.5">
      <c r="A96" s="8">
        <v>1740038</v>
      </c>
      <c r="B96" s="9" t="s">
        <v>225</v>
      </c>
      <c r="C96" s="9" t="s">
        <v>226</v>
      </c>
      <c r="D96" s="9" t="s">
        <v>260</v>
      </c>
      <c r="E96" s="9" t="s">
        <v>261</v>
      </c>
      <c r="F96" s="9" t="s">
        <v>150</v>
      </c>
      <c r="G96" s="10">
        <v>4.57</v>
      </c>
      <c r="H96" s="11">
        <v>2.2999999999999998</v>
      </c>
      <c r="I96" s="8" t="s">
        <v>21</v>
      </c>
    </row>
    <row r="97" spans="1:9" ht="12.5">
      <c r="A97" s="8">
        <v>1671328</v>
      </c>
      <c r="B97" s="9" t="s">
        <v>225</v>
      </c>
      <c r="C97" s="9" t="s">
        <v>235</v>
      </c>
      <c r="D97" s="9" t="s">
        <v>262</v>
      </c>
      <c r="E97" s="9" t="s">
        <v>263</v>
      </c>
      <c r="F97" s="9" t="s">
        <v>80</v>
      </c>
      <c r="G97" s="10">
        <v>4.46</v>
      </c>
      <c r="H97" s="11">
        <v>5.6</v>
      </c>
      <c r="I97" s="8" t="s">
        <v>17</v>
      </c>
    </row>
    <row r="98" spans="1:9" ht="12.5">
      <c r="A98" s="8">
        <v>1847900</v>
      </c>
      <c r="B98" s="9" t="s">
        <v>225</v>
      </c>
      <c r="C98" s="9" t="s">
        <v>235</v>
      </c>
      <c r="D98" s="9" t="s">
        <v>264</v>
      </c>
      <c r="E98" s="9" t="s">
        <v>264</v>
      </c>
      <c r="F98" s="9" t="s">
        <v>265</v>
      </c>
      <c r="G98" s="10">
        <v>4.4400000000000004</v>
      </c>
      <c r="H98" s="11">
        <v>10</v>
      </c>
      <c r="I98" s="8" t="s">
        <v>17</v>
      </c>
    </row>
    <row r="99" spans="1:9" ht="12.5">
      <c r="A99" s="8">
        <v>1571092</v>
      </c>
      <c r="B99" s="9" t="s">
        <v>225</v>
      </c>
      <c r="C99" s="9" t="s">
        <v>226</v>
      </c>
      <c r="D99" s="9" t="s">
        <v>266</v>
      </c>
      <c r="E99" s="9" t="s">
        <v>267</v>
      </c>
      <c r="F99" s="9" t="s">
        <v>268</v>
      </c>
      <c r="G99" s="10">
        <v>4.3899999999999997</v>
      </c>
      <c r="H99" s="11">
        <v>5.2</v>
      </c>
      <c r="I99" s="8" t="s">
        <v>21</v>
      </c>
    </row>
    <row r="100" spans="1:9" ht="12.5">
      <c r="A100" s="8">
        <v>1180708</v>
      </c>
      <c r="B100" s="9" t="s">
        <v>225</v>
      </c>
      <c r="C100" s="9" t="s">
        <v>226</v>
      </c>
      <c r="D100" s="9" t="s">
        <v>269</v>
      </c>
      <c r="E100" s="9" t="s">
        <v>270</v>
      </c>
      <c r="F100" s="9" t="s">
        <v>49</v>
      </c>
      <c r="G100" s="10">
        <v>4.5999999999999996</v>
      </c>
      <c r="H100" s="11">
        <v>7.1</v>
      </c>
      <c r="I100" s="8" t="s">
        <v>17</v>
      </c>
    </row>
    <row r="101" spans="1:9" ht="12.5">
      <c r="A101" s="8">
        <v>2559100</v>
      </c>
      <c r="B101" s="9" t="s">
        <v>225</v>
      </c>
      <c r="C101" s="9" t="s">
        <v>235</v>
      </c>
      <c r="D101" s="9" t="s">
        <v>271</v>
      </c>
      <c r="E101" s="9" t="s">
        <v>272</v>
      </c>
      <c r="F101" s="9" t="s">
        <v>92</v>
      </c>
      <c r="G101" s="10">
        <v>4.72</v>
      </c>
      <c r="H101" s="11">
        <v>14.1</v>
      </c>
      <c r="I101" s="8" t="s">
        <v>21</v>
      </c>
    </row>
    <row r="102" spans="1:9" ht="12.5">
      <c r="A102" s="8">
        <v>2674162</v>
      </c>
      <c r="B102" s="9" t="s">
        <v>225</v>
      </c>
      <c r="C102" s="9" t="s">
        <v>235</v>
      </c>
      <c r="D102" s="9" t="s">
        <v>273</v>
      </c>
      <c r="E102" s="9" t="s">
        <v>274</v>
      </c>
      <c r="F102" s="9" t="s">
        <v>246</v>
      </c>
      <c r="G102" s="10">
        <v>4.5999999999999996</v>
      </c>
      <c r="H102" s="11">
        <v>6.7</v>
      </c>
      <c r="I102" s="8" t="s">
        <v>17</v>
      </c>
    </row>
    <row r="103" spans="1:9" ht="12.5">
      <c r="A103" s="8">
        <v>1392458</v>
      </c>
      <c r="B103" s="9" t="s">
        <v>225</v>
      </c>
      <c r="C103" s="9" t="s">
        <v>226</v>
      </c>
      <c r="D103" s="9" t="s">
        <v>275</v>
      </c>
      <c r="E103" s="9" t="s">
        <v>276</v>
      </c>
      <c r="F103" s="9" t="s">
        <v>277</v>
      </c>
      <c r="G103" s="10">
        <v>4.7</v>
      </c>
      <c r="H103" s="11">
        <v>26.2</v>
      </c>
      <c r="I103" s="8" t="s">
        <v>21</v>
      </c>
    </row>
    <row r="104" spans="1:9" ht="12.5">
      <c r="A104" s="8">
        <v>1694652</v>
      </c>
      <c r="B104" s="9" t="s">
        <v>225</v>
      </c>
      <c r="C104" s="9" t="s">
        <v>278</v>
      </c>
      <c r="D104" s="9" t="s">
        <v>279</v>
      </c>
      <c r="E104" s="9" t="s">
        <v>280</v>
      </c>
      <c r="F104" s="9" t="s">
        <v>281</v>
      </c>
      <c r="G104" s="10">
        <v>4.46</v>
      </c>
      <c r="H104" s="11">
        <v>15.3</v>
      </c>
      <c r="I104" s="8" t="s">
        <v>17</v>
      </c>
    </row>
    <row r="105" spans="1:9" ht="12.5">
      <c r="A105" s="8">
        <v>1203206</v>
      </c>
      <c r="B105" s="9" t="s">
        <v>225</v>
      </c>
      <c r="C105" s="9" t="s">
        <v>235</v>
      </c>
      <c r="D105" s="9" t="s">
        <v>282</v>
      </c>
      <c r="E105" s="9" t="s">
        <v>283</v>
      </c>
      <c r="F105" s="9" t="s">
        <v>254</v>
      </c>
      <c r="G105" s="10">
        <v>4.53</v>
      </c>
      <c r="H105" s="11">
        <v>6.5</v>
      </c>
      <c r="I105" s="8" t="s">
        <v>72</v>
      </c>
    </row>
    <row r="106" spans="1:9" ht="12.5">
      <c r="A106" s="8">
        <v>1347140</v>
      </c>
      <c r="B106" s="9" t="s">
        <v>225</v>
      </c>
      <c r="C106" s="9" t="s">
        <v>226</v>
      </c>
      <c r="D106" s="9" t="s">
        <v>284</v>
      </c>
      <c r="E106" s="9" t="s">
        <v>285</v>
      </c>
      <c r="F106" s="9" t="s">
        <v>150</v>
      </c>
      <c r="G106" s="10">
        <v>4.6900000000000004</v>
      </c>
      <c r="H106" s="11">
        <v>3.8</v>
      </c>
      <c r="I106" s="8" t="s">
        <v>72</v>
      </c>
    </row>
    <row r="107" spans="1:9" ht="12.5">
      <c r="A107" s="8">
        <v>1548226</v>
      </c>
      <c r="B107" s="9" t="s">
        <v>225</v>
      </c>
      <c r="C107" s="9" t="s">
        <v>226</v>
      </c>
      <c r="D107" s="9" t="s">
        <v>286</v>
      </c>
      <c r="E107" s="9" t="s">
        <v>287</v>
      </c>
      <c r="F107" s="9" t="s">
        <v>150</v>
      </c>
      <c r="G107" s="10">
        <v>4.71</v>
      </c>
      <c r="H107" s="11">
        <v>3.8</v>
      </c>
      <c r="I107" s="8" t="s">
        <v>72</v>
      </c>
    </row>
    <row r="108" spans="1:9" ht="12.5">
      <c r="A108" s="8">
        <v>2474090</v>
      </c>
      <c r="B108" s="9" t="s">
        <v>225</v>
      </c>
      <c r="C108" s="9" t="s">
        <v>288</v>
      </c>
      <c r="D108" s="9" t="s">
        <v>289</v>
      </c>
      <c r="E108" s="9" t="s">
        <v>290</v>
      </c>
      <c r="F108" s="9" t="s">
        <v>291</v>
      </c>
      <c r="G108" s="10">
        <v>4.63</v>
      </c>
      <c r="H108" s="11">
        <v>5.9</v>
      </c>
      <c r="I108" s="8" t="s">
        <v>17</v>
      </c>
    </row>
    <row r="109" spans="1:9" ht="12.5">
      <c r="A109" s="8">
        <v>2616454</v>
      </c>
      <c r="B109" s="9" t="s">
        <v>225</v>
      </c>
      <c r="C109" s="9" t="s">
        <v>226</v>
      </c>
      <c r="D109" s="9" t="s">
        <v>292</v>
      </c>
      <c r="E109" s="9" t="s">
        <v>293</v>
      </c>
      <c r="F109" s="9" t="s">
        <v>294</v>
      </c>
      <c r="G109" s="10">
        <v>4.67</v>
      </c>
      <c r="H109" s="11">
        <v>3.4</v>
      </c>
      <c r="I109" s="8" t="s">
        <v>17</v>
      </c>
    </row>
    <row r="110" spans="1:9" ht="12.5">
      <c r="A110" s="8">
        <v>602310</v>
      </c>
      <c r="B110" s="9" t="s">
        <v>225</v>
      </c>
      <c r="C110" s="9" t="s">
        <v>235</v>
      </c>
      <c r="D110" s="9" t="s">
        <v>295</v>
      </c>
      <c r="E110" s="9" t="s">
        <v>296</v>
      </c>
      <c r="F110" s="9" t="s">
        <v>238</v>
      </c>
      <c r="G110" s="10">
        <v>4.4000000000000004</v>
      </c>
      <c r="H110" s="11">
        <v>3.8</v>
      </c>
      <c r="I110" s="8" t="s">
        <v>21</v>
      </c>
    </row>
    <row r="111" spans="1:9" ht="12.5">
      <c r="A111" s="8">
        <v>1252422</v>
      </c>
      <c r="B111" s="9" t="s">
        <v>225</v>
      </c>
      <c r="C111" s="9" t="s">
        <v>278</v>
      </c>
      <c r="D111" s="9" t="s">
        <v>297</v>
      </c>
      <c r="E111" s="9" t="s">
        <v>298</v>
      </c>
      <c r="F111" s="9" t="s">
        <v>299</v>
      </c>
      <c r="G111" s="10">
        <v>4.54</v>
      </c>
      <c r="H111" s="11">
        <v>19.600000000000001</v>
      </c>
      <c r="I111" s="8" t="s">
        <v>21</v>
      </c>
    </row>
    <row r="112" spans="1:9" ht="12.5">
      <c r="A112" s="8">
        <v>2168144</v>
      </c>
      <c r="B112" s="9" t="s">
        <v>225</v>
      </c>
      <c r="C112" s="9" t="s">
        <v>235</v>
      </c>
      <c r="D112" s="9" t="s">
        <v>300</v>
      </c>
      <c r="E112" s="9" t="s">
        <v>301</v>
      </c>
      <c r="F112" s="9" t="s">
        <v>302</v>
      </c>
      <c r="G112" s="10">
        <v>4.2699999999999996</v>
      </c>
      <c r="H112" s="11">
        <v>6.5</v>
      </c>
      <c r="I112" s="8" t="s">
        <v>21</v>
      </c>
    </row>
    <row r="113" spans="1:9" ht="12.5">
      <c r="A113" s="8">
        <v>2059223</v>
      </c>
      <c r="B113" s="9" t="s">
        <v>225</v>
      </c>
      <c r="C113" s="9" t="s">
        <v>226</v>
      </c>
      <c r="D113" s="9" t="s">
        <v>303</v>
      </c>
      <c r="E113" s="9" t="s">
        <v>304</v>
      </c>
      <c r="F113" s="9" t="s">
        <v>299</v>
      </c>
      <c r="G113" s="10">
        <v>4.72</v>
      </c>
      <c r="H113" s="11">
        <v>17.8</v>
      </c>
      <c r="I113" s="8" t="s">
        <v>21</v>
      </c>
    </row>
    <row r="114" spans="1:9" ht="12.5">
      <c r="A114" s="8">
        <v>2316454</v>
      </c>
      <c r="B114" s="9" t="s">
        <v>225</v>
      </c>
      <c r="C114" s="9" t="s">
        <v>235</v>
      </c>
      <c r="D114" s="9" t="s">
        <v>305</v>
      </c>
      <c r="E114" s="9" t="s">
        <v>305</v>
      </c>
      <c r="F114" s="9" t="s">
        <v>306</v>
      </c>
      <c r="G114" s="10">
        <v>4.55</v>
      </c>
      <c r="H114" s="11">
        <v>6.9</v>
      </c>
      <c r="I114" s="8" t="s">
        <v>21</v>
      </c>
    </row>
    <row r="115" spans="1:9" ht="12.5">
      <c r="A115" s="8">
        <v>903062</v>
      </c>
      <c r="B115" s="9" t="s">
        <v>225</v>
      </c>
      <c r="C115" s="9" t="s">
        <v>235</v>
      </c>
      <c r="D115" s="9" t="s">
        <v>307</v>
      </c>
      <c r="E115" s="9" t="s">
        <v>308</v>
      </c>
      <c r="F115" s="9" t="s">
        <v>238</v>
      </c>
      <c r="G115" s="10">
        <v>4.4400000000000004</v>
      </c>
      <c r="H115" s="11">
        <v>5.9</v>
      </c>
      <c r="I115" s="8" t="s">
        <v>21</v>
      </c>
    </row>
    <row r="116" spans="1:9" ht="12.5">
      <c r="A116" s="8">
        <v>1364900</v>
      </c>
      <c r="B116" s="9" t="s">
        <v>225</v>
      </c>
      <c r="C116" s="9" t="s">
        <v>226</v>
      </c>
      <c r="D116" s="9" t="s">
        <v>309</v>
      </c>
      <c r="E116" s="9" t="s">
        <v>310</v>
      </c>
      <c r="F116" s="9" t="s">
        <v>311</v>
      </c>
      <c r="G116" s="10">
        <v>4.53</v>
      </c>
      <c r="H116" s="11">
        <v>7.7</v>
      </c>
      <c r="I116" s="8" t="s">
        <v>17</v>
      </c>
    </row>
    <row r="117" spans="1:9" ht="12.5">
      <c r="A117" s="8">
        <v>1484660</v>
      </c>
      <c r="B117" s="9" t="s">
        <v>225</v>
      </c>
      <c r="C117" s="9" t="s">
        <v>235</v>
      </c>
      <c r="D117" s="9" t="s">
        <v>312</v>
      </c>
      <c r="E117" s="9" t="s">
        <v>313</v>
      </c>
      <c r="F117" s="9" t="s">
        <v>150</v>
      </c>
      <c r="G117" s="10">
        <v>4.71</v>
      </c>
      <c r="H117" s="11">
        <v>1.5</v>
      </c>
      <c r="I117" s="8" t="s">
        <v>17</v>
      </c>
    </row>
    <row r="118" spans="1:9" ht="12.5">
      <c r="A118" s="8">
        <v>3222087</v>
      </c>
      <c r="B118" s="9" t="s">
        <v>225</v>
      </c>
      <c r="C118" s="9" t="s">
        <v>226</v>
      </c>
      <c r="D118" s="9" t="s">
        <v>314</v>
      </c>
      <c r="E118" s="9" t="s">
        <v>315</v>
      </c>
      <c r="F118" s="9" t="s">
        <v>316</v>
      </c>
      <c r="G118" s="10">
        <v>4.4400000000000004</v>
      </c>
      <c r="H118" s="11">
        <v>10.9</v>
      </c>
      <c r="I118" s="8" t="s">
        <v>17</v>
      </c>
    </row>
    <row r="119" spans="1:9" ht="12.5">
      <c r="A119" s="8">
        <v>1945868</v>
      </c>
      <c r="B119" s="9" t="s">
        <v>225</v>
      </c>
      <c r="C119" s="9" t="s">
        <v>235</v>
      </c>
      <c r="D119" s="9" t="s">
        <v>317</v>
      </c>
      <c r="E119" s="9" t="s">
        <v>317</v>
      </c>
      <c r="F119" s="9" t="s">
        <v>291</v>
      </c>
      <c r="G119" s="10">
        <v>4.57</v>
      </c>
      <c r="H119" s="11">
        <v>7.8</v>
      </c>
      <c r="I119" s="8" t="s">
        <v>17</v>
      </c>
    </row>
    <row r="120" spans="1:9" ht="12.5">
      <c r="A120" s="8">
        <v>3384358</v>
      </c>
      <c r="B120" s="9" t="s">
        <v>225</v>
      </c>
      <c r="C120" s="9" t="s">
        <v>278</v>
      </c>
      <c r="D120" s="9" t="s">
        <v>318</v>
      </c>
      <c r="E120" s="9" t="s">
        <v>319</v>
      </c>
      <c r="F120" s="9" t="s">
        <v>281</v>
      </c>
      <c r="G120" s="10">
        <v>4.54</v>
      </c>
      <c r="H120" s="11">
        <v>31.4</v>
      </c>
      <c r="I120" s="8" t="s">
        <v>17</v>
      </c>
    </row>
    <row r="121" spans="1:9" ht="12.5">
      <c r="A121" s="8">
        <v>3499132</v>
      </c>
      <c r="B121" s="9" t="s">
        <v>225</v>
      </c>
      <c r="C121" s="9" t="s">
        <v>288</v>
      </c>
      <c r="D121" s="9" t="s">
        <v>320</v>
      </c>
      <c r="E121" s="9" t="s">
        <v>321</v>
      </c>
      <c r="F121" s="9" t="s">
        <v>322</v>
      </c>
      <c r="G121" s="10">
        <v>4.92</v>
      </c>
      <c r="H121" s="11">
        <v>1.2</v>
      </c>
      <c r="I121" s="8" t="s">
        <v>21</v>
      </c>
    </row>
    <row r="122" spans="1:9" ht="12.5">
      <c r="A122" s="8">
        <v>1198720</v>
      </c>
      <c r="B122" s="9" t="s">
        <v>225</v>
      </c>
      <c r="C122" s="9" t="s">
        <v>226</v>
      </c>
      <c r="D122" s="9" t="s">
        <v>323</v>
      </c>
      <c r="E122" s="9" t="s">
        <v>324</v>
      </c>
      <c r="F122" s="9" t="s">
        <v>254</v>
      </c>
      <c r="G122" s="10">
        <v>4.47</v>
      </c>
      <c r="H122" s="11">
        <v>7.9</v>
      </c>
      <c r="I122" s="8" t="s">
        <v>72</v>
      </c>
    </row>
    <row r="123" spans="1:9" ht="12.5">
      <c r="A123" s="8">
        <v>1741204</v>
      </c>
      <c r="B123" s="9" t="s">
        <v>225</v>
      </c>
      <c r="C123" s="9" t="s">
        <v>235</v>
      </c>
      <c r="D123" s="9" t="s">
        <v>325</v>
      </c>
      <c r="E123" s="9" t="s">
        <v>326</v>
      </c>
      <c r="F123" s="9" t="s">
        <v>327</v>
      </c>
      <c r="G123" s="10">
        <v>4.2</v>
      </c>
      <c r="H123" s="11">
        <v>8.6</v>
      </c>
      <c r="I123" s="8" t="s">
        <v>17</v>
      </c>
    </row>
    <row r="124" spans="1:9" ht="12.5">
      <c r="A124" s="8">
        <v>2563702</v>
      </c>
      <c r="B124" s="9" t="s">
        <v>225</v>
      </c>
      <c r="C124" s="9" t="s">
        <v>235</v>
      </c>
      <c r="D124" s="9" t="s">
        <v>328</v>
      </c>
      <c r="E124" s="9" t="s">
        <v>329</v>
      </c>
      <c r="F124" s="9" t="s">
        <v>153</v>
      </c>
      <c r="G124" s="10">
        <v>4.58</v>
      </c>
      <c r="H124" s="11">
        <v>14.4</v>
      </c>
      <c r="I124" s="8" t="s">
        <v>17</v>
      </c>
    </row>
    <row r="125" spans="1:9" ht="12.5">
      <c r="A125" s="8">
        <v>2593040</v>
      </c>
      <c r="B125" s="9" t="s">
        <v>225</v>
      </c>
      <c r="C125" s="9" t="s">
        <v>235</v>
      </c>
      <c r="D125" s="9" t="s">
        <v>330</v>
      </c>
      <c r="E125" s="9" t="s">
        <v>331</v>
      </c>
      <c r="F125" s="9" t="s">
        <v>332</v>
      </c>
      <c r="G125" s="10">
        <v>4.42</v>
      </c>
      <c r="H125" s="11">
        <v>2.4</v>
      </c>
      <c r="I125" s="8" t="s">
        <v>17</v>
      </c>
    </row>
    <row r="126" spans="1:9" ht="12.5">
      <c r="A126" s="8">
        <v>2923266</v>
      </c>
      <c r="B126" s="9" t="s">
        <v>225</v>
      </c>
      <c r="C126" s="9" t="s">
        <v>226</v>
      </c>
      <c r="D126" s="9" t="s">
        <v>333</v>
      </c>
      <c r="E126" s="9" t="s">
        <v>334</v>
      </c>
      <c r="F126" s="9" t="s">
        <v>277</v>
      </c>
      <c r="G126" s="10">
        <v>4.72</v>
      </c>
      <c r="H126" s="11">
        <v>30.2</v>
      </c>
      <c r="I126" s="8" t="s">
        <v>21</v>
      </c>
    </row>
    <row r="127" spans="1:9" ht="12.5">
      <c r="A127" s="8">
        <v>3225647</v>
      </c>
      <c r="B127" s="9" t="s">
        <v>225</v>
      </c>
      <c r="C127" s="9" t="s">
        <v>229</v>
      </c>
      <c r="D127" s="9" t="s">
        <v>335</v>
      </c>
      <c r="E127" s="9" t="s">
        <v>336</v>
      </c>
      <c r="F127" s="9" t="s">
        <v>150</v>
      </c>
      <c r="G127" s="10">
        <v>4.6900000000000004</v>
      </c>
      <c r="H127" s="11">
        <v>3.7</v>
      </c>
      <c r="I127" s="8" t="s">
        <v>17</v>
      </c>
    </row>
    <row r="128" spans="1:9" ht="12.5">
      <c r="A128" s="8">
        <v>1894410</v>
      </c>
      <c r="B128" s="9" t="s">
        <v>225</v>
      </c>
      <c r="C128" s="9" t="s">
        <v>235</v>
      </c>
      <c r="D128" s="9" t="s">
        <v>337</v>
      </c>
      <c r="E128" s="9" t="s">
        <v>338</v>
      </c>
      <c r="F128" s="9" t="s">
        <v>339</v>
      </c>
      <c r="G128" s="10">
        <v>4.5</v>
      </c>
      <c r="H128" s="11">
        <v>11.1</v>
      </c>
      <c r="I128" s="8" t="s">
        <v>17</v>
      </c>
    </row>
    <row r="129" spans="1:9" ht="12.5">
      <c r="A129" s="8">
        <v>2437042</v>
      </c>
      <c r="B129" s="9" t="s">
        <v>225</v>
      </c>
      <c r="C129" s="9" t="s">
        <v>226</v>
      </c>
      <c r="D129" s="9" t="s">
        <v>340</v>
      </c>
      <c r="E129" s="9" t="s">
        <v>341</v>
      </c>
      <c r="F129" s="9" t="s">
        <v>241</v>
      </c>
      <c r="G129" s="10">
        <v>4.71</v>
      </c>
      <c r="H129" s="11">
        <v>13.1</v>
      </c>
      <c r="I129" s="8" t="s">
        <v>21</v>
      </c>
    </row>
    <row r="130" spans="1:9" ht="12.5">
      <c r="A130" s="8">
        <v>2556876</v>
      </c>
      <c r="B130" s="9" t="s">
        <v>225</v>
      </c>
      <c r="C130" s="9" t="s">
        <v>226</v>
      </c>
      <c r="D130" s="9" t="s">
        <v>342</v>
      </c>
      <c r="E130" s="9" t="s">
        <v>343</v>
      </c>
      <c r="F130" s="9" t="s">
        <v>150</v>
      </c>
      <c r="G130" s="10">
        <v>4.7</v>
      </c>
      <c r="H130" s="11">
        <v>9.6</v>
      </c>
      <c r="I130" s="8" t="s">
        <v>72</v>
      </c>
    </row>
    <row r="131" spans="1:9" ht="12.5">
      <c r="A131" s="8">
        <v>1147764</v>
      </c>
      <c r="B131" s="9" t="s">
        <v>225</v>
      </c>
      <c r="C131" s="9" t="s">
        <v>235</v>
      </c>
      <c r="D131" s="9" t="s">
        <v>344</v>
      </c>
      <c r="E131" s="9" t="s">
        <v>345</v>
      </c>
      <c r="F131" s="9" t="s">
        <v>346</v>
      </c>
      <c r="G131" s="10">
        <v>4.4800000000000004</v>
      </c>
      <c r="H131" s="11">
        <v>5.8</v>
      </c>
      <c r="I131" s="8" t="s">
        <v>21</v>
      </c>
    </row>
    <row r="132" spans="1:9" ht="12.5">
      <c r="A132" s="8">
        <v>1486682</v>
      </c>
      <c r="B132" s="9" t="s">
        <v>225</v>
      </c>
      <c r="C132" s="9" t="s">
        <v>235</v>
      </c>
      <c r="D132" s="9" t="s">
        <v>347</v>
      </c>
      <c r="E132" s="9" t="s">
        <v>348</v>
      </c>
      <c r="F132" s="9" t="s">
        <v>299</v>
      </c>
      <c r="G132" s="10">
        <v>4.49</v>
      </c>
      <c r="H132" s="11">
        <v>10.8</v>
      </c>
      <c r="I132" s="8" t="s">
        <v>21</v>
      </c>
    </row>
    <row r="133" spans="1:9" ht="12.5">
      <c r="A133" s="8">
        <v>2323290</v>
      </c>
      <c r="B133" s="9" t="s">
        <v>225</v>
      </c>
      <c r="C133" s="9" t="s">
        <v>235</v>
      </c>
      <c r="D133" s="9" t="s">
        <v>349</v>
      </c>
      <c r="E133" s="9" t="s">
        <v>350</v>
      </c>
      <c r="F133" s="9" t="s">
        <v>109</v>
      </c>
      <c r="G133" s="10">
        <v>3.97</v>
      </c>
      <c r="H133" s="11">
        <v>2.6</v>
      </c>
      <c r="I133" s="8" t="s">
        <v>17</v>
      </c>
    </row>
    <row r="134" spans="1:9" ht="12.5">
      <c r="A134" s="8">
        <v>2388936</v>
      </c>
      <c r="B134" s="9" t="s">
        <v>225</v>
      </c>
      <c r="C134" s="9" t="s">
        <v>235</v>
      </c>
      <c r="D134" s="9" t="s">
        <v>351</v>
      </c>
      <c r="E134" s="9" t="s">
        <v>352</v>
      </c>
      <c r="F134" s="9" t="s">
        <v>353</v>
      </c>
      <c r="G134" s="10">
        <v>4.4400000000000004</v>
      </c>
      <c r="H134" s="11">
        <v>11.8</v>
      </c>
      <c r="I134" s="8" t="s">
        <v>72</v>
      </c>
    </row>
    <row r="135" spans="1:9" ht="12.5">
      <c r="A135" s="8">
        <v>3200636</v>
      </c>
      <c r="B135" s="9" t="s">
        <v>225</v>
      </c>
      <c r="C135" s="9" t="s">
        <v>235</v>
      </c>
      <c r="D135" s="9" t="s">
        <v>354</v>
      </c>
      <c r="E135" s="9" t="s">
        <v>355</v>
      </c>
      <c r="F135" s="9" t="s">
        <v>306</v>
      </c>
      <c r="G135" s="10">
        <v>4.6399999999999997</v>
      </c>
      <c r="H135" s="11">
        <v>30.1</v>
      </c>
      <c r="I135" s="8" t="s">
        <v>21</v>
      </c>
    </row>
    <row r="136" spans="1:9" ht="12.5">
      <c r="A136" s="8">
        <v>851792</v>
      </c>
      <c r="B136" s="9" t="s">
        <v>225</v>
      </c>
      <c r="C136" s="9" t="s">
        <v>235</v>
      </c>
      <c r="D136" s="9" t="s">
        <v>356</v>
      </c>
      <c r="E136" s="9" t="s">
        <v>357</v>
      </c>
      <c r="F136" s="9" t="s">
        <v>238</v>
      </c>
      <c r="G136" s="10">
        <v>4.6900000000000004</v>
      </c>
      <c r="H136" s="11">
        <v>6.6</v>
      </c>
      <c r="I136" s="8" t="s">
        <v>21</v>
      </c>
    </row>
    <row r="137" spans="1:9" ht="12.5">
      <c r="A137" s="8">
        <v>862390</v>
      </c>
      <c r="B137" s="9" t="s">
        <v>225</v>
      </c>
      <c r="C137" s="9" t="s">
        <v>235</v>
      </c>
      <c r="D137" s="9" t="s">
        <v>358</v>
      </c>
      <c r="E137" s="9" t="s">
        <v>359</v>
      </c>
      <c r="F137" s="9" t="s">
        <v>238</v>
      </c>
      <c r="G137" s="10">
        <v>4.72</v>
      </c>
      <c r="H137" s="11">
        <v>6.6</v>
      </c>
      <c r="I137" s="8" t="s">
        <v>21</v>
      </c>
    </row>
    <row r="138" spans="1:9" ht="12.5">
      <c r="A138" s="8">
        <v>1388618</v>
      </c>
      <c r="B138" s="9" t="s">
        <v>225</v>
      </c>
      <c r="C138" s="9" t="s">
        <v>226</v>
      </c>
      <c r="D138" s="9" t="s">
        <v>360</v>
      </c>
      <c r="E138" s="9" t="s">
        <v>361</v>
      </c>
      <c r="F138" s="9" t="s">
        <v>238</v>
      </c>
      <c r="G138" s="10">
        <v>4.6399999999999997</v>
      </c>
      <c r="H138" s="11">
        <v>9.3000000000000007</v>
      </c>
      <c r="I138" s="8" t="s">
        <v>72</v>
      </c>
    </row>
    <row r="139" spans="1:9" ht="12.5">
      <c r="A139" s="8">
        <v>1422898</v>
      </c>
      <c r="B139" s="9" t="s">
        <v>225</v>
      </c>
      <c r="C139" s="9" t="s">
        <v>278</v>
      </c>
      <c r="D139" s="9" t="s">
        <v>362</v>
      </c>
      <c r="E139" s="9" t="s">
        <v>363</v>
      </c>
      <c r="F139" s="9" t="s">
        <v>153</v>
      </c>
      <c r="G139" s="10">
        <v>4.34</v>
      </c>
      <c r="H139" s="11">
        <v>10.9</v>
      </c>
      <c r="I139" s="8" t="s">
        <v>17</v>
      </c>
    </row>
    <row r="140" spans="1:9" ht="12.5">
      <c r="A140" s="8">
        <v>1433002</v>
      </c>
      <c r="B140" s="9" t="s">
        <v>225</v>
      </c>
      <c r="C140" s="9" t="s">
        <v>226</v>
      </c>
      <c r="D140" s="9" t="s">
        <v>364</v>
      </c>
      <c r="E140" s="9" t="s">
        <v>365</v>
      </c>
      <c r="F140" s="9" t="s">
        <v>366</v>
      </c>
      <c r="G140" s="10">
        <v>4.3499999999999996</v>
      </c>
      <c r="H140" s="11">
        <v>9.1</v>
      </c>
      <c r="I140" s="8" t="s">
        <v>21</v>
      </c>
    </row>
    <row r="141" spans="1:9" ht="12.5">
      <c r="A141" s="8">
        <v>2171252</v>
      </c>
      <c r="B141" s="9" t="s">
        <v>225</v>
      </c>
      <c r="C141" s="9" t="s">
        <v>235</v>
      </c>
      <c r="D141" s="9" t="s">
        <v>367</v>
      </c>
      <c r="E141" s="9" t="s">
        <v>368</v>
      </c>
      <c r="F141" s="9" t="s">
        <v>92</v>
      </c>
      <c r="G141" s="10">
        <v>4.59</v>
      </c>
      <c r="H141" s="11">
        <v>6.1</v>
      </c>
      <c r="I141" s="8" t="s">
        <v>21</v>
      </c>
    </row>
    <row r="142" spans="1:9" ht="12.5">
      <c r="A142" s="8">
        <v>1476066</v>
      </c>
      <c r="B142" s="9" t="s">
        <v>225</v>
      </c>
      <c r="C142" s="9" t="s">
        <v>226</v>
      </c>
      <c r="D142" s="9" t="s">
        <v>369</v>
      </c>
      <c r="E142" s="9" t="s">
        <v>370</v>
      </c>
      <c r="F142" s="9" t="s">
        <v>254</v>
      </c>
      <c r="G142" s="10">
        <v>4.7</v>
      </c>
      <c r="H142" s="11">
        <v>0.7</v>
      </c>
      <c r="I142" s="8" t="s">
        <v>17</v>
      </c>
    </row>
    <row r="143" spans="1:9" ht="12.5">
      <c r="A143" s="8">
        <v>1906804</v>
      </c>
      <c r="B143" s="9" t="s">
        <v>225</v>
      </c>
      <c r="C143" s="9" t="s">
        <v>235</v>
      </c>
      <c r="D143" s="9" t="s">
        <v>371</v>
      </c>
      <c r="E143" s="9" t="s">
        <v>372</v>
      </c>
      <c r="F143" s="9" t="s">
        <v>109</v>
      </c>
      <c r="G143" s="10">
        <v>4.51</v>
      </c>
      <c r="H143" s="11">
        <v>2.8</v>
      </c>
      <c r="I143" s="8" t="s">
        <v>21</v>
      </c>
    </row>
    <row r="144" spans="1:9" ht="12.5">
      <c r="A144" s="8">
        <v>2493768</v>
      </c>
      <c r="B144" s="9" t="s">
        <v>225</v>
      </c>
      <c r="C144" s="9" t="s">
        <v>235</v>
      </c>
      <c r="D144" s="9" t="s">
        <v>373</v>
      </c>
      <c r="E144" s="9" t="s">
        <v>374</v>
      </c>
      <c r="F144" s="9" t="s">
        <v>375</v>
      </c>
      <c r="G144" s="10">
        <v>4.58</v>
      </c>
      <c r="H144" s="11">
        <v>6.5</v>
      </c>
      <c r="I144" s="8" t="s">
        <v>17</v>
      </c>
    </row>
    <row r="145" spans="1:9" ht="12.5">
      <c r="A145" s="8">
        <v>3055758</v>
      </c>
      <c r="B145" s="9" t="s">
        <v>225</v>
      </c>
      <c r="C145" s="9" t="s">
        <v>235</v>
      </c>
      <c r="D145" s="9" t="s">
        <v>376</v>
      </c>
      <c r="E145" s="9" t="s">
        <v>377</v>
      </c>
      <c r="F145" s="9" t="s">
        <v>306</v>
      </c>
      <c r="G145" s="10">
        <v>4.55</v>
      </c>
      <c r="H145" s="11">
        <v>5.0999999999999996</v>
      </c>
      <c r="I145" s="8" t="s">
        <v>21</v>
      </c>
    </row>
    <row r="146" spans="1:9" ht="12.5">
      <c r="A146" s="8">
        <v>3363636</v>
      </c>
      <c r="B146" s="9" t="s">
        <v>225</v>
      </c>
      <c r="C146" s="9" t="s">
        <v>278</v>
      </c>
      <c r="D146" s="9" t="s">
        <v>378</v>
      </c>
      <c r="E146" s="9" t="s">
        <v>379</v>
      </c>
      <c r="F146" s="9" t="s">
        <v>380</v>
      </c>
      <c r="G146" s="10">
        <v>4.55</v>
      </c>
      <c r="H146" s="11">
        <v>9.1</v>
      </c>
      <c r="I146" s="8" t="s">
        <v>17</v>
      </c>
    </row>
    <row r="147" spans="1:9" ht="12.5">
      <c r="A147" s="8">
        <v>1885228</v>
      </c>
      <c r="B147" s="9" t="s">
        <v>225</v>
      </c>
      <c r="C147" s="9" t="s">
        <v>278</v>
      </c>
      <c r="D147" s="9" t="s">
        <v>381</v>
      </c>
      <c r="E147" s="9" t="s">
        <v>381</v>
      </c>
      <c r="F147" s="9" t="s">
        <v>299</v>
      </c>
      <c r="G147" s="10">
        <v>4.7</v>
      </c>
      <c r="H147" s="11">
        <v>5.8</v>
      </c>
      <c r="I147" s="8" t="s">
        <v>72</v>
      </c>
    </row>
    <row r="148" spans="1:9" ht="12.5">
      <c r="A148" s="8">
        <v>2841406</v>
      </c>
      <c r="B148" s="9" t="s">
        <v>225</v>
      </c>
      <c r="C148" s="9" t="s">
        <v>226</v>
      </c>
      <c r="D148" s="9" t="s">
        <v>382</v>
      </c>
      <c r="E148" s="9" t="s">
        <v>383</v>
      </c>
      <c r="F148" s="9" t="s">
        <v>384</v>
      </c>
      <c r="G148" s="10">
        <v>4.5</v>
      </c>
      <c r="H148" s="11">
        <v>6.2</v>
      </c>
      <c r="I148" s="8" t="s">
        <v>17</v>
      </c>
    </row>
    <row r="149" spans="1:9" ht="12.5">
      <c r="A149" s="8">
        <v>3380600</v>
      </c>
      <c r="B149" s="9" t="s">
        <v>225</v>
      </c>
      <c r="C149" s="9" t="s">
        <v>385</v>
      </c>
      <c r="D149" s="9" t="s">
        <v>386</v>
      </c>
      <c r="E149" s="9" t="s">
        <v>387</v>
      </c>
      <c r="F149" s="9" t="s">
        <v>388</v>
      </c>
      <c r="G149" s="10">
        <v>4.5999999999999996</v>
      </c>
      <c r="H149" s="11">
        <v>28</v>
      </c>
      <c r="I149" s="8" t="s">
        <v>17</v>
      </c>
    </row>
    <row r="150" spans="1:9" ht="12.5">
      <c r="A150" s="8">
        <v>1190496</v>
      </c>
      <c r="B150" s="9" t="s">
        <v>225</v>
      </c>
      <c r="C150" s="9" t="s">
        <v>235</v>
      </c>
      <c r="D150" s="9" t="s">
        <v>389</v>
      </c>
      <c r="E150" s="9" t="s">
        <v>390</v>
      </c>
      <c r="F150" s="9" t="s">
        <v>391</v>
      </c>
      <c r="G150" s="10">
        <v>4.22</v>
      </c>
      <c r="H150" s="11">
        <v>13.1</v>
      </c>
      <c r="I150" s="8" t="s">
        <v>17</v>
      </c>
    </row>
    <row r="151" spans="1:9" ht="12.5">
      <c r="A151" s="8">
        <v>1356868</v>
      </c>
      <c r="B151" s="9" t="s">
        <v>225</v>
      </c>
      <c r="C151" s="9" t="s">
        <v>385</v>
      </c>
      <c r="D151" s="9" t="s">
        <v>392</v>
      </c>
      <c r="E151" s="9" t="s">
        <v>393</v>
      </c>
      <c r="F151" s="9" t="s">
        <v>163</v>
      </c>
      <c r="G151" s="10">
        <v>4.5599999999999996</v>
      </c>
      <c r="H151" s="11">
        <v>27.3</v>
      </c>
      <c r="I151" s="8" t="s">
        <v>72</v>
      </c>
    </row>
    <row r="152" spans="1:9" ht="12.5">
      <c r="A152" s="8">
        <v>1393796</v>
      </c>
      <c r="B152" s="9" t="s">
        <v>225</v>
      </c>
      <c r="C152" s="9" t="s">
        <v>385</v>
      </c>
      <c r="D152" s="9" t="s">
        <v>394</v>
      </c>
      <c r="E152" s="9" t="s">
        <v>395</v>
      </c>
      <c r="F152" s="9" t="s">
        <v>153</v>
      </c>
      <c r="G152" s="10">
        <v>4.7</v>
      </c>
      <c r="H152" s="11">
        <v>41.8</v>
      </c>
      <c r="I152" s="8" t="s">
        <v>17</v>
      </c>
    </row>
    <row r="153" spans="1:9" ht="12.5">
      <c r="A153" s="8">
        <v>1828522</v>
      </c>
      <c r="B153" s="9" t="s">
        <v>225</v>
      </c>
      <c r="C153" s="9" t="s">
        <v>278</v>
      </c>
      <c r="D153" s="9" t="s">
        <v>396</v>
      </c>
      <c r="E153" s="9" t="s">
        <v>397</v>
      </c>
      <c r="F153" s="9" t="s">
        <v>388</v>
      </c>
      <c r="G153" s="10">
        <v>4.66</v>
      </c>
      <c r="H153" s="11">
        <v>9.4</v>
      </c>
      <c r="I153" s="8" t="s">
        <v>17</v>
      </c>
    </row>
    <row r="154" spans="1:9" ht="12.5">
      <c r="A154" s="8">
        <v>3111312</v>
      </c>
      <c r="B154" s="9" t="s">
        <v>225</v>
      </c>
      <c r="C154" s="9" t="s">
        <v>398</v>
      </c>
      <c r="D154" s="9" t="s">
        <v>399</v>
      </c>
      <c r="E154" s="9" t="s">
        <v>400</v>
      </c>
      <c r="F154" s="9" t="s">
        <v>401</v>
      </c>
      <c r="G154" s="10">
        <v>4.5199999999999996</v>
      </c>
      <c r="H154" s="11">
        <v>2.1</v>
      </c>
      <c r="I154" s="8" t="s">
        <v>17</v>
      </c>
    </row>
    <row r="155" spans="1:9" ht="12.5">
      <c r="A155" s="8">
        <v>1057258</v>
      </c>
      <c r="B155" s="9" t="s">
        <v>225</v>
      </c>
      <c r="C155" s="9" t="s">
        <v>235</v>
      </c>
      <c r="D155" s="9" t="s">
        <v>402</v>
      </c>
      <c r="E155" s="9" t="s">
        <v>403</v>
      </c>
      <c r="F155" s="9" t="s">
        <v>187</v>
      </c>
      <c r="G155" s="10">
        <v>4.59</v>
      </c>
      <c r="H155" s="11">
        <v>4.2</v>
      </c>
      <c r="I155" s="8" t="s">
        <v>17</v>
      </c>
    </row>
    <row r="156" spans="1:9" ht="12.5">
      <c r="A156" s="8">
        <v>1134644</v>
      </c>
      <c r="B156" s="9" t="s">
        <v>225</v>
      </c>
      <c r="C156" s="9" t="s">
        <v>235</v>
      </c>
      <c r="D156" s="9" t="s">
        <v>404</v>
      </c>
      <c r="E156" s="9" t="s">
        <v>405</v>
      </c>
      <c r="F156" s="9" t="s">
        <v>265</v>
      </c>
      <c r="G156" s="10">
        <v>4.4800000000000004</v>
      </c>
      <c r="H156" s="11">
        <v>7.4</v>
      </c>
      <c r="I156" s="8" t="s">
        <v>17</v>
      </c>
    </row>
    <row r="157" spans="1:9" ht="12.5">
      <c r="A157" s="8">
        <v>1394948</v>
      </c>
      <c r="B157" s="9" t="s">
        <v>225</v>
      </c>
      <c r="C157" s="9" t="s">
        <v>235</v>
      </c>
      <c r="D157" s="9" t="s">
        <v>406</v>
      </c>
      <c r="E157" s="9" t="s">
        <v>407</v>
      </c>
      <c r="F157" s="9" t="s">
        <v>238</v>
      </c>
      <c r="G157" s="10">
        <v>4.79</v>
      </c>
      <c r="H157" s="11">
        <v>6.3</v>
      </c>
      <c r="I157" s="8" t="s">
        <v>72</v>
      </c>
    </row>
    <row r="158" spans="1:9" ht="12.5">
      <c r="A158" s="8">
        <v>1420198</v>
      </c>
      <c r="B158" s="9" t="s">
        <v>225</v>
      </c>
      <c r="C158" s="9" t="s">
        <v>385</v>
      </c>
      <c r="D158" s="9" t="s">
        <v>408</v>
      </c>
      <c r="E158" s="9" t="s">
        <v>409</v>
      </c>
      <c r="F158" s="9" t="s">
        <v>410</v>
      </c>
      <c r="G158" s="10">
        <v>4.59</v>
      </c>
      <c r="H158" s="11">
        <v>7.9</v>
      </c>
      <c r="I158" s="8" t="s">
        <v>17</v>
      </c>
    </row>
    <row r="159" spans="1:9" ht="12.5">
      <c r="A159" s="8">
        <v>2516552</v>
      </c>
      <c r="B159" s="9" t="s">
        <v>225</v>
      </c>
      <c r="C159" s="9" t="s">
        <v>278</v>
      </c>
      <c r="D159" s="9" t="s">
        <v>411</v>
      </c>
      <c r="E159" s="9" t="s">
        <v>412</v>
      </c>
      <c r="F159" s="9" t="s">
        <v>299</v>
      </c>
      <c r="G159" s="10">
        <v>4.87</v>
      </c>
      <c r="H159" s="11">
        <v>21.2</v>
      </c>
      <c r="I159" s="8" t="s">
        <v>72</v>
      </c>
    </row>
    <row r="160" spans="1:9" ht="12.5">
      <c r="A160" s="8">
        <v>2755060</v>
      </c>
      <c r="B160" s="9" t="s">
        <v>225</v>
      </c>
      <c r="C160" s="9" t="s">
        <v>235</v>
      </c>
      <c r="D160" s="9" t="s">
        <v>413</v>
      </c>
      <c r="E160" s="9" t="s">
        <v>414</v>
      </c>
      <c r="F160" s="9" t="s">
        <v>375</v>
      </c>
      <c r="G160" s="10">
        <v>4.3099999999999996</v>
      </c>
      <c r="H160" s="11">
        <v>7.9</v>
      </c>
      <c r="I160" s="8" t="s">
        <v>72</v>
      </c>
    </row>
    <row r="161" spans="1:9" ht="12.5">
      <c r="A161" s="8">
        <v>2895174</v>
      </c>
      <c r="B161" s="9" t="s">
        <v>225</v>
      </c>
      <c r="C161" s="9" t="s">
        <v>235</v>
      </c>
      <c r="D161" s="9" t="s">
        <v>415</v>
      </c>
      <c r="E161" s="9" t="s">
        <v>416</v>
      </c>
      <c r="F161" s="9" t="s">
        <v>375</v>
      </c>
      <c r="G161" s="10">
        <v>4.2</v>
      </c>
      <c r="H161" s="11">
        <v>4.7</v>
      </c>
      <c r="I161" s="8" t="s">
        <v>72</v>
      </c>
    </row>
    <row r="162" spans="1:9" ht="12.5">
      <c r="A162" s="8">
        <v>2963914</v>
      </c>
      <c r="B162" s="9" t="s">
        <v>225</v>
      </c>
      <c r="C162" s="9" t="s">
        <v>226</v>
      </c>
      <c r="D162" s="9" t="s">
        <v>417</v>
      </c>
      <c r="E162" s="9" t="s">
        <v>418</v>
      </c>
      <c r="F162" s="9" t="s">
        <v>150</v>
      </c>
      <c r="G162" s="10">
        <v>4.63</v>
      </c>
      <c r="H162" s="11">
        <v>0.5</v>
      </c>
      <c r="I162" s="8" t="s">
        <v>72</v>
      </c>
    </row>
    <row r="163" spans="1:9" ht="12.5">
      <c r="A163" s="8">
        <v>3318222</v>
      </c>
      <c r="B163" s="9" t="s">
        <v>225</v>
      </c>
      <c r="C163" s="9" t="s">
        <v>226</v>
      </c>
      <c r="D163" s="9" t="s">
        <v>419</v>
      </c>
      <c r="E163" s="9" t="s">
        <v>420</v>
      </c>
      <c r="F163" s="9" t="s">
        <v>150</v>
      </c>
      <c r="G163" s="10">
        <v>4.34</v>
      </c>
      <c r="H163" s="11">
        <v>4.5</v>
      </c>
      <c r="I163" s="8" t="s">
        <v>17</v>
      </c>
    </row>
    <row r="164" spans="1:9" ht="12.5">
      <c r="A164" s="8">
        <v>3346430</v>
      </c>
      <c r="B164" s="9" t="s">
        <v>225</v>
      </c>
      <c r="C164" s="9" t="s">
        <v>278</v>
      </c>
      <c r="D164" s="9" t="s">
        <v>421</v>
      </c>
      <c r="E164" s="9" t="s">
        <v>422</v>
      </c>
      <c r="F164" s="9" t="s">
        <v>281</v>
      </c>
      <c r="G164" s="10">
        <v>4.5</v>
      </c>
      <c r="H164" s="11">
        <v>11.8</v>
      </c>
      <c r="I164" s="8" t="s">
        <v>17</v>
      </c>
    </row>
    <row r="165" spans="1:9" ht="12.5">
      <c r="A165" s="8">
        <v>1984416</v>
      </c>
      <c r="B165" s="9" t="s">
        <v>225</v>
      </c>
      <c r="C165" s="9" t="s">
        <v>235</v>
      </c>
      <c r="D165" s="9" t="s">
        <v>423</v>
      </c>
      <c r="E165" s="9" t="s">
        <v>424</v>
      </c>
      <c r="F165" s="9" t="s">
        <v>306</v>
      </c>
      <c r="G165" s="10">
        <v>4.6500000000000004</v>
      </c>
      <c r="H165" s="11">
        <v>1.5</v>
      </c>
      <c r="I165" s="8" t="s">
        <v>21</v>
      </c>
    </row>
    <row r="166" spans="1:9" ht="12.5">
      <c r="A166" s="8">
        <v>2030028</v>
      </c>
      <c r="B166" s="9" t="s">
        <v>225</v>
      </c>
      <c r="C166" s="9" t="s">
        <v>235</v>
      </c>
      <c r="D166" s="9" t="s">
        <v>425</v>
      </c>
      <c r="E166" s="9" t="s">
        <v>426</v>
      </c>
      <c r="F166" s="9" t="s">
        <v>92</v>
      </c>
      <c r="G166" s="10">
        <v>4.59</v>
      </c>
      <c r="H166" s="11">
        <v>3.7</v>
      </c>
      <c r="I166" s="8" t="s">
        <v>21</v>
      </c>
    </row>
    <row r="167" spans="1:9" ht="12.5">
      <c r="A167" s="8">
        <v>2254928</v>
      </c>
      <c r="B167" s="9" t="s">
        <v>225</v>
      </c>
      <c r="C167" s="9" t="s">
        <v>235</v>
      </c>
      <c r="D167" s="9" t="s">
        <v>427</v>
      </c>
      <c r="E167" s="9" t="s">
        <v>428</v>
      </c>
      <c r="F167" s="9" t="s">
        <v>306</v>
      </c>
      <c r="G167" s="10">
        <v>4.58</v>
      </c>
      <c r="H167" s="11">
        <v>3.1</v>
      </c>
      <c r="I167" s="8" t="s">
        <v>17</v>
      </c>
    </row>
    <row r="168" spans="1:9" ht="12.5">
      <c r="A168" s="8">
        <v>2269932</v>
      </c>
      <c r="B168" s="9" t="s">
        <v>225</v>
      </c>
      <c r="C168" s="9" t="s">
        <v>235</v>
      </c>
      <c r="D168" s="9" t="s">
        <v>429</v>
      </c>
      <c r="E168" s="9" t="s">
        <v>430</v>
      </c>
      <c r="F168" s="9" t="s">
        <v>80</v>
      </c>
      <c r="G168" s="10">
        <v>4.6399999999999997</v>
      </c>
      <c r="H168" s="11">
        <v>4.5</v>
      </c>
      <c r="I168" s="8" t="s">
        <v>17</v>
      </c>
    </row>
    <row r="169" spans="1:9" ht="12.5">
      <c r="A169" s="8">
        <v>2516330</v>
      </c>
      <c r="B169" s="9" t="s">
        <v>225</v>
      </c>
      <c r="C169" s="9" t="s">
        <v>235</v>
      </c>
      <c r="D169" s="9" t="s">
        <v>431</v>
      </c>
      <c r="E169" s="9" t="s">
        <v>432</v>
      </c>
      <c r="F169" s="9" t="s">
        <v>113</v>
      </c>
      <c r="G169" s="10">
        <v>4.28</v>
      </c>
      <c r="H169" s="11">
        <v>13.5</v>
      </c>
      <c r="I169" s="8" t="s">
        <v>21</v>
      </c>
    </row>
    <row r="170" spans="1:9" ht="12.5">
      <c r="A170" s="8">
        <v>2737766</v>
      </c>
      <c r="B170" s="9" t="s">
        <v>225</v>
      </c>
      <c r="C170" s="9" t="s">
        <v>278</v>
      </c>
      <c r="D170" s="9" t="s">
        <v>433</v>
      </c>
      <c r="E170" s="9" t="s">
        <v>434</v>
      </c>
      <c r="F170" s="9" t="s">
        <v>281</v>
      </c>
      <c r="G170" s="10">
        <v>4.08</v>
      </c>
      <c r="H170" s="11">
        <v>5.4</v>
      </c>
      <c r="I170" s="8" t="s">
        <v>72</v>
      </c>
    </row>
    <row r="171" spans="1:9" ht="12.5">
      <c r="A171" s="8">
        <v>2798470</v>
      </c>
      <c r="B171" s="9" t="s">
        <v>225</v>
      </c>
      <c r="C171" s="9" t="s">
        <v>235</v>
      </c>
      <c r="D171" s="9" t="s">
        <v>435</v>
      </c>
      <c r="E171" s="9" t="s">
        <v>436</v>
      </c>
      <c r="F171" s="9" t="s">
        <v>437</v>
      </c>
      <c r="G171" s="10">
        <v>4.25</v>
      </c>
      <c r="H171" s="11">
        <v>9.3000000000000007</v>
      </c>
      <c r="I171" s="8" t="s">
        <v>17</v>
      </c>
    </row>
    <row r="172" spans="1:9" ht="12.5">
      <c r="A172" s="8">
        <v>2888292</v>
      </c>
      <c r="B172" s="9" t="s">
        <v>225</v>
      </c>
      <c r="C172" s="9" t="s">
        <v>235</v>
      </c>
      <c r="D172" s="9" t="s">
        <v>438</v>
      </c>
      <c r="E172" s="9" t="s">
        <v>439</v>
      </c>
      <c r="F172" s="9" t="s">
        <v>332</v>
      </c>
      <c r="G172" s="10">
        <v>4.53</v>
      </c>
      <c r="H172" s="11">
        <v>10.9</v>
      </c>
      <c r="I172" s="8" t="s">
        <v>17</v>
      </c>
    </row>
    <row r="173" spans="1:9" ht="12.5">
      <c r="A173" s="8">
        <v>3181220</v>
      </c>
      <c r="B173" s="9" t="s">
        <v>225</v>
      </c>
      <c r="C173" s="9" t="s">
        <v>385</v>
      </c>
      <c r="D173" s="9" t="s">
        <v>440</v>
      </c>
      <c r="E173" s="9" t="s">
        <v>441</v>
      </c>
      <c r="F173" s="9" t="s">
        <v>316</v>
      </c>
      <c r="G173" s="10">
        <v>4.66</v>
      </c>
      <c r="H173" s="11">
        <v>50.3</v>
      </c>
      <c r="I173" s="8" t="s">
        <v>21</v>
      </c>
    </row>
    <row r="174" spans="1:9" ht="12.5">
      <c r="A174" s="8">
        <v>762174</v>
      </c>
      <c r="B174" s="9" t="s">
        <v>225</v>
      </c>
      <c r="C174" s="9" t="s">
        <v>235</v>
      </c>
      <c r="D174" s="9" t="s">
        <v>442</v>
      </c>
      <c r="E174" s="9" t="s">
        <v>443</v>
      </c>
      <c r="F174" s="9" t="s">
        <v>238</v>
      </c>
      <c r="G174" s="10">
        <v>4.41</v>
      </c>
      <c r="H174" s="11">
        <v>5</v>
      </c>
      <c r="I174" s="8" t="s">
        <v>21</v>
      </c>
    </row>
    <row r="175" spans="1:9" ht="12.5">
      <c r="A175" s="8">
        <v>1040216</v>
      </c>
      <c r="B175" s="9" t="s">
        <v>225</v>
      </c>
      <c r="C175" s="9" t="s">
        <v>385</v>
      </c>
      <c r="D175" s="9" t="s">
        <v>444</v>
      </c>
      <c r="E175" s="9" t="s">
        <v>445</v>
      </c>
      <c r="F175" s="9" t="s">
        <v>153</v>
      </c>
      <c r="G175" s="10">
        <v>4.57</v>
      </c>
      <c r="H175" s="11">
        <v>44.2</v>
      </c>
      <c r="I175" s="8" t="s">
        <v>17</v>
      </c>
    </row>
    <row r="176" spans="1:9" ht="12.5">
      <c r="A176" s="8">
        <v>1557054</v>
      </c>
      <c r="B176" s="9" t="s">
        <v>225</v>
      </c>
      <c r="C176" s="9" t="s">
        <v>278</v>
      </c>
      <c r="D176" s="9" t="s">
        <v>446</v>
      </c>
      <c r="E176" s="9" t="s">
        <v>447</v>
      </c>
      <c r="F176" s="9" t="s">
        <v>153</v>
      </c>
      <c r="G176" s="10">
        <v>4.4000000000000004</v>
      </c>
      <c r="H176" s="11">
        <v>10.4</v>
      </c>
      <c r="I176" s="8" t="s">
        <v>17</v>
      </c>
    </row>
    <row r="177" spans="1:9" ht="12.5">
      <c r="A177" s="8">
        <v>1876366</v>
      </c>
      <c r="B177" s="9" t="s">
        <v>225</v>
      </c>
      <c r="C177" s="9" t="s">
        <v>385</v>
      </c>
      <c r="D177" s="9" t="s">
        <v>448</v>
      </c>
      <c r="E177" s="9" t="s">
        <v>449</v>
      </c>
      <c r="F177" s="9" t="s">
        <v>163</v>
      </c>
      <c r="G177" s="10">
        <v>4.47</v>
      </c>
      <c r="H177" s="11">
        <v>20.5</v>
      </c>
      <c r="I177" s="8" t="s">
        <v>72</v>
      </c>
    </row>
    <row r="178" spans="1:9" ht="12.5">
      <c r="A178" s="8">
        <v>2071361</v>
      </c>
      <c r="B178" s="9" t="s">
        <v>225</v>
      </c>
      <c r="C178" s="9" t="s">
        <v>235</v>
      </c>
      <c r="D178" s="9" t="s">
        <v>450</v>
      </c>
      <c r="E178" s="9" t="s">
        <v>451</v>
      </c>
      <c r="F178" s="9" t="s">
        <v>150</v>
      </c>
      <c r="G178" s="10">
        <v>4.43</v>
      </c>
      <c r="H178" s="11">
        <v>2.6</v>
      </c>
      <c r="I178" s="8" t="s">
        <v>72</v>
      </c>
    </row>
    <row r="179" spans="1:9" ht="12.5">
      <c r="A179" s="8">
        <v>2217966</v>
      </c>
      <c r="B179" s="9" t="s">
        <v>225</v>
      </c>
      <c r="C179" s="9" t="s">
        <v>235</v>
      </c>
      <c r="D179" s="9" t="s">
        <v>452</v>
      </c>
      <c r="E179" s="9" t="s">
        <v>453</v>
      </c>
      <c r="F179" s="9" t="s">
        <v>306</v>
      </c>
      <c r="G179" s="10">
        <v>4.6500000000000004</v>
      </c>
      <c r="H179" s="11">
        <v>2.2000000000000002</v>
      </c>
      <c r="I179" s="8" t="s">
        <v>17</v>
      </c>
    </row>
    <row r="180" spans="1:9" ht="12.5">
      <c r="A180" s="8">
        <v>2423398</v>
      </c>
      <c r="B180" s="9" t="s">
        <v>225</v>
      </c>
      <c r="C180" s="9" t="s">
        <v>235</v>
      </c>
      <c r="D180" s="9" t="s">
        <v>454</v>
      </c>
      <c r="E180" s="9" t="s">
        <v>455</v>
      </c>
      <c r="F180" s="9" t="s">
        <v>346</v>
      </c>
      <c r="G180" s="10">
        <v>4.25</v>
      </c>
      <c r="H180" s="11">
        <v>4.9000000000000004</v>
      </c>
      <c r="I180" s="8" t="s">
        <v>21</v>
      </c>
    </row>
    <row r="181" spans="1:9" ht="12.5">
      <c r="A181" s="8">
        <v>2644886</v>
      </c>
      <c r="B181" s="9" t="s">
        <v>225</v>
      </c>
      <c r="C181" s="9" t="s">
        <v>229</v>
      </c>
      <c r="D181" s="9" t="s">
        <v>456</v>
      </c>
      <c r="E181" s="9" t="s">
        <v>457</v>
      </c>
      <c r="F181" s="9" t="s">
        <v>458</v>
      </c>
      <c r="G181" s="10">
        <v>4.5</v>
      </c>
      <c r="H181" s="11">
        <v>3.8</v>
      </c>
      <c r="I181" s="8" t="s">
        <v>17</v>
      </c>
    </row>
    <row r="182" spans="1:9" ht="12.5">
      <c r="A182" s="8">
        <v>2715960</v>
      </c>
      <c r="B182" s="9" t="s">
        <v>225</v>
      </c>
      <c r="C182" s="9" t="s">
        <v>235</v>
      </c>
      <c r="D182" s="9" t="s">
        <v>459</v>
      </c>
      <c r="E182" s="9" t="s">
        <v>460</v>
      </c>
      <c r="F182" s="9" t="s">
        <v>353</v>
      </c>
      <c r="G182" s="10">
        <v>4.3</v>
      </c>
      <c r="H182" s="11">
        <v>8.1</v>
      </c>
      <c r="I182" s="8" t="s">
        <v>17</v>
      </c>
    </row>
    <row r="183" spans="1:9" ht="12.5">
      <c r="A183" s="8">
        <v>2809065</v>
      </c>
      <c r="B183" s="9" t="s">
        <v>225</v>
      </c>
      <c r="C183" s="9" t="s">
        <v>235</v>
      </c>
      <c r="D183" s="9" t="s">
        <v>461</v>
      </c>
      <c r="E183" s="9" t="s">
        <v>462</v>
      </c>
      <c r="F183" s="9" t="s">
        <v>306</v>
      </c>
      <c r="G183" s="10">
        <v>4.79</v>
      </c>
      <c r="H183" s="11">
        <v>7.2</v>
      </c>
      <c r="I183" s="8" t="s">
        <v>21</v>
      </c>
    </row>
    <row r="184" spans="1:9" ht="12.5">
      <c r="A184" s="8">
        <v>3193646</v>
      </c>
      <c r="B184" s="9" t="s">
        <v>225</v>
      </c>
      <c r="C184" s="9" t="s">
        <v>385</v>
      </c>
      <c r="D184" s="9" t="s">
        <v>463</v>
      </c>
      <c r="E184" s="9" t="s">
        <v>464</v>
      </c>
      <c r="F184" s="9" t="s">
        <v>316</v>
      </c>
      <c r="G184" s="10">
        <v>4.66</v>
      </c>
      <c r="H184" s="11">
        <v>7.2</v>
      </c>
      <c r="I184" s="8" t="s">
        <v>21</v>
      </c>
    </row>
    <row r="185" spans="1:9" ht="12.5">
      <c r="A185" s="8">
        <v>987472</v>
      </c>
      <c r="B185" s="9" t="s">
        <v>225</v>
      </c>
      <c r="C185" s="9" t="s">
        <v>385</v>
      </c>
      <c r="D185" s="9" t="s">
        <v>465</v>
      </c>
      <c r="E185" s="9" t="s">
        <v>466</v>
      </c>
      <c r="F185" s="9" t="s">
        <v>153</v>
      </c>
      <c r="G185" s="10">
        <v>4.41</v>
      </c>
      <c r="H185" s="11">
        <v>10.3</v>
      </c>
      <c r="I185" s="8" t="s">
        <v>17</v>
      </c>
    </row>
    <row r="186" spans="1:9" ht="12.5">
      <c r="A186" s="8">
        <v>2396868</v>
      </c>
      <c r="B186" s="9" t="s">
        <v>225</v>
      </c>
      <c r="C186" s="9" t="s">
        <v>235</v>
      </c>
      <c r="D186" s="9" t="s">
        <v>467</v>
      </c>
      <c r="E186" s="9" t="s">
        <v>468</v>
      </c>
      <c r="F186" s="9" t="s">
        <v>306</v>
      </c>
      <c r="G186" s="10">
        <v>4.79</v>
      </c>
      <c r="H186" s="11">
        <v>2.4</v>
      </c>
      <c r="I186" s="8" t="s">
        <v>21</v>
      </c>
    </row>
    <row r="187" spans="1:9" ht="12.5">
      <c r="A187" s="8">
        <v>2825199</v>
      </c>
      <c r="B187" s="9" t="s">
        <v>225</v>
      </c>
      <c r="C187" s="9" t="s">
        <v>226</v>
      </c>
      <c r="D187" s="9" t="s">
        <v>469</v>
      </c>
      <c r="E187" s="9" t="s">
        <v>470</v>
      </c>
      <c r="F187" s="9" t="s">
        <v>471</v>
      </c>
      <c r="G187" s="10">
        <v>4.32</v>
      </c>
      <c r="H187" s="11">
        <v>6.4</v>
      </c>
      <c r="I187" s="8" t="s">
        <v>17</v>
      </c>
    </row>
    <row r="188" spans="1:9" ht="12.5">
      <c r="A188" s="8">
        <v>1395784</v>
      </c>
      <c r="B188" s="9" t="s">
        <v>225</v>
      </c>
      <c r="C188" s="9" t="s">
        <v>235</v>
      </c>
      <c r="D188" s="9" t="s">
        <v>472</v>
      </c>
      <c r="E188" s="9" t="s">
        <v>473</v>
      </c>
      <c r="F188" s="9" t="s">
        <v>375</v>
      </c>
      <c r="G188" s="10">
        <v>4.72</v>
      </c>
      <c r="H188" s="11">
        <v>4.7</v>
      </c>
      <c r="I188" s="8" t="s">
        <v>17</v>
      </c>
    </row>
    <row r="189" spans="1:9" ht="12.5">
      <c r="A189" s="8">
        <v>1473556</v>
      </c>
      <c r="B189" s="9" t="s">
        <v>225</v>
      </c>
      <c r="C189" s="9" t="s">
        <v>278</v>
      </c>
      <c r="D189" s="9" t="s">
        <v>474</v>
      </c>
      <c r="E189" s="9" t="s">
        <v>475</v>
      </c>
      <c r="F189" s="9" t="s">
        <v>476</v>
      </c>
      <c r="G189" s="10">
        <v>4.34</v>
      </c>
      <c r="H189" s="11">
        <v>15</v>
      </c>
      <c r="I189" s="8" t="s">
        <v>72</v>
      </c>
    </row>
    <row r="190" spans="1:9" ht="12.5">
      <c r="A190" s="8">
        <v>1910138</v>
      </c>
      <c r="B190" s="9" t="s">
        <v>225</v>
      </c>
      <c r="C190" s="9" t="s">
        <v>385</v>
      </c>
      <c r="D190" s="9" t="s">
        <v>477</v>
      </c>
      <c r="E190" s="9" t="s">
        <v>478</v>
      </c>
      <c r="F190" s="9" t="s">
        <v>479</v>
      </c>
      <c r="G190" s="10">
        <v>4.55</v>
      </c>
      <c r="H190" s="11">
        <v>3.4</v>
      </c>
      <c r="I190" s="8" t="s">
        <v>17</v>
      </c>
    </row>
    <row r="191" spans="1:9" ht="12.5">
      <c r="A191" s="8">
        <v>1942392</v>
      </c>
      <c r="B191" s="9" t="s">
        <v>225</v>
      </c>
      <c r="C191" s="9" t="s">
        <v>235</v>
      </c>
      <c r="D191" s="9" t="s">
        <v>480</v>
      </c>
      <c r="E191" s="9" t="s">
        <v>481</v>
      </c>
      <c r="F191" s="9" t="s">
        <v>80</v>
      </c>
      <c r="G191" s="10">
        <v>4.38</v>
      </c>
      <c r="H191" s="11">
        <v>3.6</v>
      </c>
      <c r="I191" s="8" t="s">
        <v>72</v>
      </c>
    </row>
    <row r="192" spans="1:9" ht="12.5">
      <c r="A192" s="8">
        <v>1960212</v>
      </c>
      <c r="B192" s="9" t="s">
        <v>225</v>
      </c>
      <c r="C192" s="9" t="s">
        <v>385</v>
      </c>
      <c r="D192" s="9" t="s">
        <v>482</v>
      </c>
      <c r="E192" s="9" t="s">
        <v>483</v>
      </c>
      <c r="F192" s="9" t="s">
        <v>388</v>
      </c>
      <c r="G192" s="10">
        <v>4.68</v>
      </c>
      <c r="H192" s="11">
        <v>21.1</v>
      </c>
      <c r="I192" s="8" t="s">
        <v>17</v>
      </c>
    </row>
    <row r="193" spans="1:9" ht="12.5">
      <c r="A193" s="8">
        <v>2144416</v>
      </c>
      <c r="B193" s="9" t="s">
        <v>225</v>
      </c>
      <c r="C193" s="9" t="s">
        <v>235</v>
      </c>
      <c r="D193" s="9" t="s">
        <v>484</v>
      </c>
      <c r="E193" s="9" t="s">
        <v>485</v>
      </c>
      <c r="F193" s="9" t="s">
        <v>306</v>
      </c>
      <c r="G193" s="10">
        <v>4.57</v>
      </c>
      <c r="H193" s="11">
        <v>3.3</v>
      </c>
      <c r="I193" s="8" t="s">
        <v>21</v>
      </c>
    </row>
    <row r="194" spans="1:9" ht="12.5">
      <c r="A194" s="8">
        <v>2183604</v>
      </c>
      <c r="B194" s="9" t="s">
        <v>225</v>
      </c>
      <c r="C194" s="9" t="s">
        <v>235</v>
      </c>
      <c r="D194" s="9" t="s">
        <v>486</v>
      </c>
      <c r="E194" s="9" t="s">
        <v>487</v>
      </c>
      <c r="F194" s="9" t="s">
        <v>346</v>
      </c>
      <c r="G194" s="10">
        <v>4.53</v>
      </c>
      <c r="H194" s="11">
        <v>8.6999999999999993</v>
      </c>
      <c r="I194" s="8" t="s">
        <v>21</v>
      </c>
    </row>
    <row r="195" spans="1:9" ht="12.5">
      <c r="A195" s="8">
        <v>2317726</v>
      </c>
      <c r="B195" s="9" t="s">
        <v>225</v>
      </c>
      <c r="C195" s="9" t="s">
        <v>278</v>
      </c>
      <c r="D195" s="9" t="s">
        <v>488</v>
      </c>
      <c r="E195" s="9" t="s">
        <v>489</v>
      </c>
      <c r="F195" s="9" t="s">
        <v>281</v>
      </c>
      <c r="G195" s="10">
        <v>4.53</v>
      </c>
      <c r="H195" s="11">
        <v>36.299999999999997</v>
      </c>
      <c r="I195" s="8" t="s">
        <v>17</v>
      </c>
    </row>
    <row r="196" spans="1:9" ht="12.5">
      <c r="A196" s="8">
        <v>2367360</v>
      </c>
      <c r="B196" s="9" t="s">
        <v>225</v>
      </c>
      <c r="C196" s="9" t="s">
        <v>235</v>
      </c>
      <c r="D196" s="9" t="s">
        <v>490</v>
      </c>
      <c r="E196" s="9" t="s">
        <v>491</v>
      </c>
      <c r="F196" s="9" t="s">
        <v>306</v>
      </c>
      <c r="G196" s="10">
        <v>4.8899999999999997</v>
      </c>
      <c r="H196" s="11">
        <v>4.4000000000000004</v>
      </c>
      <c r="I196" s="8" t="s">
        <v>72</v>
      </c>
    </row>
    <row r="197" spans="1:9" ht="12.5">
      <c r="A197" s="8">
        <v>3563625</v>
      </c>
      <c r="B197" s="9" t="s">
        <v>225</v>
      </c>
      <c r="C197" s="9" t="s">
        <v>229</v>
      </c>
      <c r="D197" s="9" t="s">
        <v>492</v>
      </c>
      <c r="E197" s="9" t="s">
        <v>493</v>
      </c>
      <c r="F197" s="9" t="s">
        <v>92</v>
      </c>
      <c r="G197" s="10">
        <v>4.67</v>
      </c>
      <c r="H197" s="11">
        <v>3.2</v>
      </c>
      <c r="I197" s="8" t="s">
        <v>21</v>
      </c>
    </row>
    <row r="198" spans="1:9" ht="12.5">
      <c r="A198" s="8">
        <v>654784</v>
      </c>
      <c r="B198" s="9" t="s">
        <v>225</v>
      </c>
      <c r="C198" s="9" t="s">
        <v>235</v>
      </c>
      <c r="D198" s="9" t="s">
        <v>494</v>
      </c>
      <c r="E198" s="9" t="s">
        <v>495</v>
      </c>
      <c r="F198" s="9" t="s">
        <v>238</v>
      </c>
      <c r="G198" s="10">
        <v>4.42</v>
      </c>
      <c r="H198" s="11">
        <v>3.5</v>
      </c>
      <c r="I198" s="8" t="s">
        <v>21</v>
      </c>
    </row>
    <row r="199" spans="1:9" ht="12.5">
      <c r="A199" s="8">
        <v>714364</v>
      </c>
      <c r="B199" s="9" t="s">
        <v>225</v>
      </c>
      <c r="C199" s="9" t="s">
        <v>235</v>
      </c>
      <c r="D199" s="9" t="s">
        <v>496</v>
      </c>
      <c r="E199" s="9" t="s">
        <v>497</v>
      </c>
      <c r="F199" s="9" t="s">
        <v>498</v>
      </c>
      <c r="G199" s="10">
        <v>4.37</v>
      </c>
      <c r="H199" s="11">
        <v>9</v>
      </c>
      <c r="I199" s="8" t="s">
        <v>17</v>
      </c>
    </row>
    <row r="200" spans="1:9" ht="12.5">
      <c r="A200" s="8">
        <v>1067008</v>
      </c>
      <c r="B200" s="9" t="s">
        <v>225</v>
      </c>
      <c r="C200" s="9" t="s">
        <v>226</v>
      </c>
      <c r="D200" s="9" t="s">
        <v>499</v>
      </c>
      <c r="E200" s="9" t="s">
        <v>500</v>
      </c>
      <c r="F200" s="9" t="s">
        <v>65</v>
      </c>
      <c r="G200" s="10">
        <v>4.46</v>
      </c>
      <c r="H200" s="11">
        <v>15.9</v>
      </c>
      <c r="I200" s="8" t="s">
        <v>21</v>
      </c>
    </row>
    <row r="201" spans="1:9" ht="12.5">
      <c r="A201" s="8">
        <v>1454492</v>
      </c>
      <c r="B201" s="9" t="s">
        <v>225</v>
      </c>
      <c r="C201" s="9" t="s">
        <v>235</v>
      </c>
      <c r="D201" s="9" t="s">
        <v>501</v>
      </c>
      <c r="E201" s="9" t="s">
        <v>502</v>
      </c>
      <c r="F201" s="9" t="s">
        <v>238</v>
      </c>
      <c r="G201" s="10">
        <v>4.66</v>
      </c>
      <c r="H201" s="11">
        <v>7</v>
      </c>
      <c r="I201" s="8" t="s">
        <v>72</v>
      </c>
    </row>
    <row r="202" spans="1:9" ht="12.5">
      <c r="A202" s="8">
        <v>1684308</v>
      </c>
      <c r="B202" s="9" t="s">
        <v>225</v>
      </c>
      <c r="C202" s="9" t="s">
        <v>385</v>
      </c>
      <c r="D202" s="9" t="s">
        <v>503</v>
      </c>
      <c r="E202" s="9" t="s">
        <v>504</v>
      </c>
      <c r="F202" s="9" t="s">
        <v>153</v>
      </c>
      <c r="G202" s="10">
        <v>4.96</v>
      </c>
      <c r="H202" s="11">
        <v>16.100000000000001</v>
      </c>
      <c r="I202" s="8" t="s">
        <v>17</v>
      </c>
    </row>
    <row r="203" spans="1:9" ht="12.5">
      <c r="A203" s="8">
        <v>1793476</v>
      </c>
      <c r="B203" s="9" t="s">
        <v>225</v>
      </c>
      <c r="C203" s="9" t="s">
        <v>278</v>
      </c>
      <c r="D203" s="9" t="s">
        <v>505</v>
      </c>
      <c r="E203" s="9" t="s">
        <v>506</v>
      </c>
      <c r="F203" s="9" t="s">
        <v>281</v>
      </c>
      <c r="G203" s="10">
        <v>4.26</v>
      </c>
      <c r="H203" s="11">
        <v>30.9</v>
      </c>
      <c r="I203" s="8" t="s">
        <v>17</v>
      </c>
    </row>
    <row r="204" spans="1:9" ht="12.5">
      <c r="A204" s="8">
        <v>1876494</v>
      </c>
      <c r="B204" s="9" t="s">
        <v>225</v>
      </c>
      <c r="C204" s="9" t="s">
        <v>235</v>
      </c>
      <c r="D204" s="9" t="s">
        <v>507</v>
      </c>
      <c r="E204" s="9" t="s">
        <v>508</v>
      </c>
      <c r="F204" s="9" t="s">
        <v>509</v>
      </c>
      <c r="G204" s="10">
        <v>4.55</v>
      </c>
      <c r="H204" s="11">
        <v>5.5</v>
      </c>
      <c r="I204" s="8" t="s">
        <v>21</v>
      </c>
    </row>
    <row r="205" spans="1:9" ht="12.5">
      <c r="A205" s="8">
        <v>2251930</v>
      </c>
      <c r="B205" s="9" t="s">
        <v>225</v>
      </c>
      <c r="C205" s="9" t="s">
        <v>235</v>
      </c>
      <c r="D205" s="9" t="s">
        <v>510</v>
      </c>
      <c r="E205" s="9" t="s">
        <v>511</v>
      </c>
      <c r="F205" s="9" t="s">
        <v>109</v>
      </c>
      <c r="G205" s="10">
        <v>4.45</v>
      </c>
      <c r="H205" s="11">
        <v>1.3</v>
      </c>
      <c r="I205" s="8" t="s">
        <v>17</v>
      </c>
    </row>
    <row r="206" spans="1:9" ht="12.5">
      <c r="A206" s="8">
        <v>2396820</v>
      </c>
      <c r="B206" s="9" t="s">
        <v>225</v>
      </c>
      <c r="C206" s="9" t="s">
        <v>235</v>
      </c>
      <c r="D206" s="9" t="s">
        <v>512</v>
      </c>
      <c r="E206" s="9" t="s">
        <v>513</v>
      </c>
      <c r="F206" s="9" t="s">
        <v>306</v>
      </c>
      <c r="G206" s="10">
        <v>4.3899999999999997</v>
      </c>
      <c r="H206" s="11">
        <v>2</v>
      </c>
      <c r="I206" s="8" t="s">
        <v>21</v>
      </c>
    </row>
    <row r="207" spans="1:9" ht="12.5">
      <c r="A207" s="8">
        <v>2408732</v>
      </c>
      <c r="B207" s="9" t="s">
        <v>225</v>
      </c>
      <c r="C207" s="9" t="s">
        <v>278</v>
      </c>
      <c r="D207" s="9" t="s">
        <v>514</v>
      </c>
      <c r="E207" s="9" t="s">
        <v>515</v>
      </c>
      <c r="F207" s="9" t="s">
        <v>281</v>
      </c>
      <c r="G207" s="10">
        <v>4.3499999999999996</v>
      </c>
      <c r="H207" s="11">
        <v>10.8</v>
      </c>
      <c r="I207" s="8" t="s">
        <v>21</v>
      </c>
    </row>
    <row r="208" spans="1:9" ht="12.5">
      <c r="A208" s="8">
        <v>2521990</v>
      </c>
      <c r="B208" s="9" t="s">
        <v>225</v>
      </c>
      <c r="C208" s="9" t="s">
        <v>235</v>
      </c>
      <c r="D208" s="9" t="s">
        <v>516</v>
      </c>
      <c r="E208" s="9" t="s">
        <v>517</v>
      </c>
      <c r="F208" s="9" t="s">
        <v>375</v>
      </c>
      <c r="G208" s="10">
        <v>4.41</v>
      </c>
      <c r="H208" s="11">
        <v>5.2</v>
      </c>
      <c r="I208" s="8" t="s">
        <v>72</v>
      </c>
    </row>
    <row r="209" spans="1:9" ht="12.5">
      <c r="A209" s="8">
        <v>2666930</v>
      </c>
      <c r="B209" s="9" t="s">
        <v>225</v>
      </c>
      <c r="C209" s="9" t="s">
        <v>235</v>
      </c>
      <c r="D209" s="9" t="s">
        <v>518</v>
      </c>
      <c r="E209" s="9" t="s">
        <v>519</v>
      </c>
      <c r="F209" s="9" t="s">
        <v>306</v>
      </c>
      <c r="G209" s="10">
        <v>4.18</v>
      </c>
      <c r="H209" s="11">
        <v>2.9</v>
      </c>
      <c r="I209" s="8" t="s">
        <v>21</v>
      </c>
    </row>
    <row r="210" spans="1:9" ht="12.5">
      <c r="A210" s="8">
        <v>2766028</v>
      </c>
      <c r="B210" s="9" t="s">
        <v>225</v>
      </c>
      <c r="C210" s="9" t="s">
        <v>226</v>
      </c>
      <c r="D210" s="9" t="s">
        <v>520</v>
      </c>
      <c r="E210" s="9" t="s">
        <v>521</v>
      </c>
      <c r="F210" s="9" t="s">
        <v>241</v>
      </c>
      <c r="G210" s="10">
        <v>4.78</v>
      </c>
      <c r="H210" s="11">
        <v>10.1</v>
      </c>
      <c r="I210" s="8" t="s">
        <v>21</v>
      </c>
    </row>
    <row r="211" spans="1:9" ht="12.5">
      <c r="A211" s="8">
        <v>2983204</v>
      </c>
      <c r="B211" s="9" t="s">
        <v>225</v>
      </c>
      <c r="C211" s="9" t="s">
        <v>226</v>
      </c>
      <c r="D211" s="9" t="s">
        <v>522</v>
      </c>
      <c r="E211" s="9" t="s">
        <v>523</v>
      </c>
      <c r="F211" s="9" t="s">
        <v>89</v>
      </c>
      <c r="G211" s="10">
        <v>4.47</v>
      </c>
      <c r="H211" s="11">
        <v>35</v>
      </c>
      <c r="I211" s="8" t="s">
        <v>17</v>
      </c>
    </row>
    <row r="212" spans="1:9" ht="12.5">
      <c r="A212" s="8">
        <v>2997956</v>
      </c>
      <c r="B212" s="9" t="s">
        <v>225</v>
      </c>
      <c r="C212" s="9" t="s">
        <v>288</v>
      </c>
      <c r="D212" s="9" t="s">
        <v>524</v>
      </c>
      <c r="E212" s="9" t="s">
        <v>525</v>
      </c>
      <c r="F212" s="9" t="s">
        <v>526</v>
      </c>
      <c r="G212" s="10">
        <v>4.3899999999999997</v>
      </c>
      <c r="H212" s="11">
        <v>4.0999999999999996</v>
      </c>
      <c r="I212" s="8" t="s">
        <v>17</v>
      </c>
    </row>
    <row r="213" spans="1:9" ht="12.5">
      <c r="A213" s="8">
        <v>3030152</v>
      </c>
      <c r="B213" s="9" t="s">
        <v>225</v>
      </c>
      <c r="C213" s="9" t="s">
        <v>235</v>
      </c>
      <c r="D213" s="9" t="s">
        <v>527</v>
      </c>
      <c r="E213" s="9" t="s">
        <v>528</v>
      </c>
      <c r="F213" s="9" t="s">
        <v>529</v>
      </c>
      <c r="G213" s="10">
        <v>4.66</v>
      </c>
      <c r="H213" s="11">
        <v>4.0999999999999996</v>
      </c>
      <c r="I213" s="8" t="s">
        <v>17</v>
      </c>
    </row>
    <row r="214" spans="1:9" ht="12.5">
      <c r="A214" s="8">
        <v>3183150</v>
      </c>
      <c r="B214" s="9" t="s">
        <v>225</v>
      </c>
      <c r="C214" s="9" t="s">
        <v>235</v>
      </c>
      <c r="D214" s="9" t="s">
        <v>530</v>
      </c>
      <c r="E214" s="9" t="s">
        <v>531</v>
      </c>
      <c r="F214" s="9" t="s">
        <v>532</v>
      </c>
      <c r="G214" s="10">
        <v>4.82</v>
      </c>
      <c r="H214" s="11">
        <v>7.5</v>
      </c>
      <c r="I214" s="8" t="s">
        <v>72</v>
      </c>
    </row>
    <row r="215" spans="1:9" ht="12.5">
      <c r="A215" s="8">
        <v>3434420</v>
      </c>
      <c r="B215" s="9" t="s">
        <v>225</v>
      </c>
      <c r="C215" s="9" t="s">
        <v>235</v>
      </c>
      <c r="D215" s="9" t="s">
        <v>533</v>
      </c>
      <c r="E215" s="9" t="s">
        <v>534</v>
      </c>
      <c r="F215" s="9" t="s">
        <v>535</v>
      </c>
      <c r="G215" s="10">
        <v>4.5999999999999996</v>
      </c>
      <c r="H215" s="11">
        <v>5</v>
      </c>
      <c r="I215" s="8" t="s">
        <v>17</v>
      </c>
    </row>
    <row r="216" spans="1:9" ht="12.5">
      <c r="A216" s="8">
        <v>3490410</v>
      </c>
      <c r="B216" s="9" t="s">
        <v>225</v>
      </c>
      <c r="C216" s="9" t="s">
        <v>235</v>
      </c>
      <c r="D216" s="9" t="s">
        <v>536</v>
      </c>
      <c r="E216" s="9" t="s">
        <v>537</v>
      </c>
      <c r="F216" s="9" t="s">
        <v>306</v>
      </c>
      <c r="G216" s="10">
        <v>4.58</v>
      </c>
      <c r="H216" s="11">
        <v>10.8</v>
      </c>
      <c r="I216" s="8" t="s">
        <v>17</v>
      </c>
    </row>
    <row r="217" spans="1:9" ht="12.5">
      <c r="A217" s="8">
        <v>1128598</v>
      </c>
      <c r="B217" s="9" t="s">
        <v>225</v>
      </c>
      <c r="C217" s="9" t="s">
        <v>385</v>
      </c>
      <c r="D217" s="9" t="s">
        <v>538</v>
      </c>
      <c r="E217" s="9" t="s">
        <v>539</v>
      </c>
      <c r="F217" s="9" t="s">
        <v>153</v>
      </c>
      <c r="G217" s="10">
        <v>4.7699999999999996</v>
      </c>
      <c r="H217" s="11">
        <v>5</v>
      </c>
      <c r="I217" s="8" t="s">
        <v>72</v>
      </c>
    </row>
    <row r="218" spans="1:9" ht="12.5">
      <c r="A218" s="8">
        <v>2146420</v>
      </c>
      <c r="B218" s="9" t="s">
        <v>225</v>
      </c>
      <c r="C218" s="9" t="s">
        <v>278</v>
      </c>
      <c r="D218" s="9" t="s">
        <v>540</v>
      </c>
      <c r="E218" s="9" t="s">
        <v>541</v>
      </c>
      <c r="F218" s="9" t="s">
        <v>281</v>
      </c>
      <c r="G218" s="12">
        <v>4.28</v>
      </c>
      <c r="H218" s="11">
        <v>9.1999999999999993</v>
      </c>
      <c r="I218" s="13" t="s">
        <v>72</v>
      </c>
    </row>
    <row r="219" spans="1:9" ht="12.5">
      <c r="A219" s="8">
        <v>2229616</v>
      </c>
      <c r="B219" s="9" t="s">
        <v>225</v>
      </c>
      <c r="C219" s="9" t="s">
        <v>235</v>
      </c>
      <c r="D219" s="9" t="s">
        <v>542</v>
      </c>
      <c r="E219" s="9" t="s">
        <v>543</v>
      </c>
      <c r="F219" s="9" t="s">
        <v>498</v>
      </c>
      <c r="G219" s="10">
        <v>4.41</v>
      </c>
      <c r="H219" s="11">
        <v>4.5</v>
      </c>
      <c r="I219" s="8" t="s">
        <v>17</v>
      </c>
    </row>
    <row r="220" spans="1:9" ht="12.5">
      <c r="A220" s="8">
        <v>2396872</v>
      </c>
      <c r="B220" s="9" t="s">
        <v>225</v>
      </c>
      <c r="C220" s="9" t="s">
        <v>235</v>
      </c>
      <c r="D220" s="9" t="s">
        <v>544</v>
      </c>
      <c r="E220" s="9" t="s">
        <v>545</v>
      </c>
      <c r="F220" s="9" t="s">
        <v>306</v>
      </c>
      <c r="G220" s="10">
        <v>4.59</v>
      </c>
      <c r="H220" s="11">
        <v>2.5</v>
      </c>
      <c r="I220" s="8" t="s">
        <v>21</v>
      </c>
    </row>
    <row r="221" spans="1:9" ht="12.5">
      <c r="A221" s="8">
        <v>3057822</v>
      </c>
      <c r="B221" s="9" t="s">
        <v>225</v>
      </c>
      <c r="C221" s="9" t="s">
        <v>235</v>
      </c>
      <c r="D221" s="9" t="s">
        <v>546</v>
      </c>
      <c r="E221" s="9" t="s">
        <v>547</v>
      </c>
      <c r="F221" s="9" t="s">
        <v>150</v>
      </c>
      <c r="G221" s="10">
        <v>4.68</v>
      </c>
      <c r="H221" s="11">
        <v>4.2</v>
      </c>
      <c r="I221" s="8" t="s">
        <v>72</v>
      </c>
    </row>
    <row r="222" spans="1:9" ht="12.5">
      <c r="A222" s="8">
        <v>3133076</v>
      </c>
      <c r="B222" s="9" t="s">
        <v>225</v>
      </c>
      <c r="C222" s="9" t="s">
        <v>235</v>
      </c>
      <c r="D222" s="9" t="s">
        <v>548</v>
      </c>
      <c r="E222" s="9" t="s">
        <v>549</v>
      </c>
      <c r="F222" s="9" t="s">
        <v>532</v>
      </c>
      <c r="G222" s="10">
        <v>4.25</v>
      </c>
      <c r="H222" s="11">
        <v>9.1</v>
      </c>
      <c r="I222" s="8" t="s">
        <v>21</v>
      </c>
    </row>
    <row r="223" spans="1:9" ht="12.5">
      <c r="A223" s="8">
        <v>3320402</v>
      </c>
      <c r="B223" s="9" t="s">
        <v>225</v>
      </c>
      <c r="C223" s="9" t="s">
        <v>235</v>
      </c>
      <c r="D223" s="9" t="s">
        <v>550</v>
      </c>
      <c r="E223" s="9" t="s">
        <v>551</v>
      </c>
      <c r="F223" s="9" t="s">
        <v>552</v>
      </c>
      <c r="G223" s="10">
        <v>4.7699999999999996</v>
      </c>
      <c r="H223" s="11">
        <v>6</v>
      </c>
      <c r="I223" s="8" t="s">
        <v>21</v>
      </c>
    </row>
    <row r="224" spans="1:9" ht="12.5">
      <c r="A224" s="8">
        <v>3360918</v>
      </c>
      <c r="B224" s="9" t="s">
        <v>225</v>
      </c>
      <c r="C224" s="9" t="s">
        <v>385</v>
      </c>
      <c r="D224" s="9" t="s">
        <v>553</v>
      </c>
      <c r="E224" s="9" t="s">
        <v>554</v>
      </c>
      <c r="F224" s="9" t="s">
        <v>316</v>
      </c>
      <c r="G224" s="10">
        <v>4.78</v>
      </c>
      <c r="H224" s="11">
        <v>5.5</v>
      </c>
      <c r="I224" s="8" t="s">
        <v>21</v>
      </c>
    </row>
    <row r="225" spans="1:9" ht="12.5">
      <c r="A225" s="8">
        <v>3582982</v>
      </c>
      <c r="B225" s="9" t="s">
        <v>225</v>
      </c>
      <c r="C225" s="9" t="s">
        <v>235</v>
      </c>
      <c r="D225" s="9" t="s">
        <v>555</v>
      </c>
      <c r="E225" s="9" t="s">
        <v>556</v>
      </c>
      <c r="F225" s="9" t="s">
        <v>306</v>
      </c>
      <c r="G225" s="10">
        <v>4.7699999999999996</v>
      </c>
      <c r="H225" s="11">
        <v>8.1</v>
      </c>
      <c r="I225" s="8" t="s">
        <v>17</v>
      </c>
    </row>
    <row r="226" spans="1:9" ht="12.5">
      <c r="A226" s="8">
        <v>1432312</v>
      </c>
      <c r="B226" s="9" t="s">
        <v>557</v>
      </c>
      <c r="C226" s="9" t="s">
        <v>558</v>
      </c>
      <c r="D226" s="9" t="s">
        <v>559</v>
      </c>
      <c r="E226" s="9" t="s">
        <v>560</v>
      </c>
      <c r="F226" s="9" t="s">
        <v>187</v>
      </c>
      <c r="G226" s="10">
        <v>4.54</v>
      </c>
      <c r="H226" s="11">
        <v>4.8</v>
      </c>
      <c r="I226" s="8" t="s">
        <v>17</v>
      </c>
    </row>
    <row r="227" spans="1:9" ht="12.5">
      <c r="A227" s="8">
        <v>1993820</v>
      </c>
      <c r="B227" s="9" t="s">
        <v>557</v>
      </c>
      <c r="C227" s="9" t="s">
        <v>561</v>
      </c>
      <c r="D227" s="9" t="s">
        <v>562</v>
      </c>
      <c r="E227" s="9" t="s">
        <v>563</v>
      </c>
      <c r="F227" s="9" t="s">
        <v>564</v>
      </c>
      <c r="G227" s="10">
        <v>4.08</v>
      </c>
      <c r="H227" s="11">
        <v>4.5999999999999996</v>
      </c>
      <c r="I227" s="8" t="s">
        <v>21</v>
      </c>
    </row>
    <row r="228" spans="1:9" ht="12.5">
      <c r="A228" s="8">
        <v>2704220</v>
      </c>
      <c r="B228" s="9" t="s">
        <v>557</v>
      </c>
      <c r="C228" s="9" t="s">
        <v>565</v>
      </c>
      <c r="D228" s="9" t="s">
        <v>566</v>
      </c>
      <c r="E228" s="9" t="s">
        <v>567</v>
      </c>
      <c r="F228" s="9" t="s">
        <v>65</v>
      </c>
      <c r="G228" s="10">
        <v>4.5599999999999996</v>
      </c>
      <c r="H228" s="11">
        <v>17</v>
      </c>
      <c r="I228" s="8" t="s">
        <v>21</v>
      </c>
    </row>
    <row r="229" spans="1:9" ht="12.5">
      <c r="A229" s="8">
        <v>1692572</v>
      </c>
      <c r="B229" s="9" t="s">
        <v>557</v>
      </c>
      <c r="C229" s="9" t="s">
        <v>558</v>
      </c>
      <c r="D229" s="9" t="s">
        <v>568</v>
      </c>
      <c r="E229" s="9" t="s">
        <v>569</v>
      </c>
      <c r="F229" s="9" t="s">
        <v>570</v>
      </c>
      <c r="G229" s="10">
        <v>4.5199999999999996</v>
      </c>
      <c r="H229" s="11">
        <v>2.1</v>
      </c>
      <c r="I229" s="8" t="s">
        <v>17</v>
      </c>
    </row>
    <row r="230" spans="1:9" ht="12.5">
      <c r="A230" s="8">
        <v>1692710</v>
      </c>
      <c r="B230" s="9" t="s">
        <v>557</v>
      </c>
      <c r="C230" s="9" t="s">
        <v>558</v>
      </c>
      <c r="D230" s="9" t="s">
        <v>571</v>
      </c>
      <c r="E230" s="9" t="s">
        <v>572</v>
      </c>
      <c r="F230" s="9" t="s">
        <v>570</v>
      </c>
      <c r="G230" s="10">
        <v>4.59</v>
      </c>
      <c r="H230" s="11">
        <v>1.7</v>
      </c>
      <c r="I230" s="8" t="s">
        <v>17</v>
      </c>
    </row>
    <row r="231" spans="1:9" ht="12.5">
      <c r="A231" s="8">
        <v>1097486</v>
      </c>
      <c r="B231" s="9" t="s">
        <v>557</v>
      </c>
      <c r="C231" s="9" t="s">
        <v>558</v>
      </c>
      <c r="D231" s="9" t="s">
        <v>573</v>
      </c>
      <c r="E231" s="9" t="s">
        <v>574</v>
      </c>
      <c r="F231" s="9" t="s">
        <v>570</v>
      </c>
      <c r="G231" s="10">
        <v>4.5199999999999996</v>
      </c>
      <c r="H231" s="11">
        <v>7.1</v>
      </c>
      <c r="I231" s="8" t="s">
        <v>17</v>
      </c>
    </row>
    <row r="232" spans="1:9" ht="12.5">
      <c r="A232" s="8">
        <v>1193056</v>
      </c>
      <c r="B232" s="9" t="s">
        <v>557</v>
      </c>
      <c r="C232" s="9" t="s">
        <v>558</v>
      </c>
      <c r="D232" s="9" t="s">
        <v>575</v>
      </c>
      <c r="E232" s="9" t="s">
        <v>576</v>
      </c>
      <c r="F232" s="9" t="s">
        <v>570</v>
      </c>
      <c r="G232" s="10">
        <v>4.43</v>
      </c>
      <c r="H232" s="11">
        <v>2.2999999999999998</v>
      </c>
      <c r="I232" s="8" t="s">
        <v>17</v>
      </c>
    </row>
    <row r="233" spans="1:9" ht="12.5">
      <c r="A233" s="8">
        <v>2008662</v>
      </c>
      <c r="B233" s="9" t="s">
        <v>557</v>
      </c>
      <c r="C233" s="9" t="s">
        <v>558</v>
      </c>
      <c r="D233" s="9" t="s">
        <v>577</v>
      </c>
      <c r="E233" s="9" t="s">
        <v>578</v>
      </c>
      <c r="F233" s="9" t="s">
        <v>570</v>
      </c>
      <c r="G233" s="10">
        <v>4.6100000000000003</v>
      </c>
      <c r="H233" s="11">
        <v>3.2</v>
      </c>
      <c r="I233" s="8" t="s">
        <v>17</v>
      </c>
    </row>
    <row r="234" spans="1:9" ht="12.5">
      <c r="A234" s="8">
        <v>1264512</v>
      </c>
      <c r="B234" s="9" t="s">
        <v>557</v>
      </c>
      <c r="C234" s="9" t="s">
        <v>558</v>
      </c>
      <c r="D234" s="9" t="s">
        <v>579</v>
      </c>
      <c r="E234" s="9" t="s">
        <v>580</v>
      </c>
      <c r="F234" s="9" t="s">
        <v>570</v>
      </c>
      <c r="G234" s="10">
        <v>4.57</v>
      </c>
      <c r="H234" s="11">
        <v>1.9</v>
      </c>
      <c r="I234" s="8" t="s">
        <v>21</v>
      </c>
    </row>
    <row r="235" spans="1:9" ht="12.5">
      <c r="A235" s="8">
        <v>3015386</v>
      </c>
      <c r="B235" s="9" t="s">
        <v>557</v>
      </c>
      <c r="C235" s="9" t="s">
        <v>558</v>
      </c>
      <c r="D235" s="9" t="s">
        <v>581</v>
      </c>
      <c r="E235" s="9" t="s">
        <v>582</v>
      </c>
      <c r="F235" s="9" t="s">
        <v>583</v>
      </c>
      <c r="G235" s="10">
        <v>4.71</v>
      </c>
      <c r="H235" s="11">
        <v>3.8</v>
      </c>
      <c r="I235" s="8" t="s">
        <v>17</v>
      </c>
    </row>
    <row r="236" spans="1:9" ht="12.5">
      <c r="A236" s="8">
        <v>1298132</v>
      </c>
      <c r="B236" s="9" t="s">
        <v>557</v>
      </c>
      <c r="C236" s="9" t="s">
        <v>558</v>
      </c>
      <c r="D236" s="9" t="s">
        <v>584</v>
      </c>
      <c r="E236" s="9" t="s">
        <v>585</v>
      </c>
      <c r="F236" s="9" t="s">
        <v>570</v>
      </c>
      <c r="G236" s="10">
        <v>4.43</v>
      </c>
      <c r="H236" s="11">
        <v>2.4</v>
      </c>
      <c r="I236" s="8" t="s">
        <v>17</v>
      </c>
    </row>
    <row r="237" spans="1:9" ht="12.5">
      <c r="A237" s="8">
        <v>1535560</v>
      </c>
      <c r="B237" s="9" t="s">
        <v>557</v>
      </c>
      <c r="C237" s="9" t="s">
        <v>558</v>
      </c>
      <c r="D237" s="9" t="s">
        <v>586</v>
      </c>
      <c r="E237" s="9" t="s">
        <v>587</v>
      </c>
      <c r="F237" s="9" t="s">
        <v>570</v>
      </c>
      <c r="G237" s="10">
        <v>4.62</v>
      </c>
      <c r="H237" s="11">
        <v>4.7</v>
      </c>
      <c r="I237" s="8" t="s">
        <v>17</v>
      </c>
    </row>
    <row r="238" spans="1:9" ht="12.5">
      <c r="A238" s="8">
        <v>2382747</v>
      </c>
      <c r="B238" s="9" t="s">
        <v>557</v>
      </c>
      <c r="C238" s="9" t="s">
        <v>558</v>
      </c>
      <c r="D238" s="9" t="s">
        <v>588</v>
      </c>
      <c r="E238" s="9" t="s">
        <v>589</v>
      </c>
      <c r="F238" s="9" t="s">
        <v>590</v>
      </c>
      <c r="G238" s="10">
        <v>4.59</v>
      </c>
      <c r="H238" s="11">
        <v>4.9000000000000004</v>
      </c>
      <c r="I238" s="8" t="s">
        <v>17</v>
      </c>
    </row>
    <row r="239" spans="1:9" ht="12.5">
      <c r="A239" s="8">
        <v>1337676</v>
      </c>
      <c r="B239" s="9" t="s">
        <v>557</v>
      </c>
      <c r="C239" s="9" t="s">
        <v>558</v>
      </c>
      <c r="D239" s="9" t="s">
        <v>591</v>
      </c>
      <c r="E239" s="9" t="s">
        <v>592</v>
      </c>
      <c r="F239" s="9" t="s">
        <v>570</v>
      </c>
      <c r="G239" s="10">
        <v>4.6399999999999997</v>
      </c>
      <c r="H239" s="11">
        <v>2.5</v>
      </c>
      <c r="I239" s="8" t="s">
        <v>17</v>
      </c>
    </row>
    <row r="240" spans="1:9" ht="12.5">
      <c r="A240" s="8">
        <v>1608954</v>
      </c>
      <c r="B240" s="9" t="s">
        <v>557</v>
      </c>
      <c r="C240" s="9" t="s">
        <v>558</v>
      </c>
      <c r="D240" s="9" t="s">
        <v>593</v>
      </c>
      <c r="E240" s="9" t="s">
        <v>594</v>
      </c>
      <c r="F240" s="9" t="s">
        <v>570</v>
      </c>
      <c r="G240" s="10">
        <v>4.24</v>
      </c>
      <c r="H240" s="11">
        <v>2.4</v>
      </c>
      <c r="I240" s="8" t="s">
        <v>17</v>
      </c>
    </row>
    <row r="241" spans="1:9" ht="12.5">
      <c r="A241" s="8">
        <v>2216848</v>
      </c>
      <c r="B241" s="9" t="s">
        <v>557</v>
      </c>
      <c r="C241" s="9" t="s">
        <v>558</v>
      </c>
      <c r="D241" s="9" t="s">
        <v>595</v>
      </c>
      <c r="E241" s="9" t="s">
        <v>596</v>
      </c>
      <c r="F241" s="9" t="s">
        <v>570</v>
      </c>
      <c r="G241" s="10">
        <v>4.54</v>
      </c>
      <c r="H241" s="11">
        <v>3.2</v>
      </c>
      <c r="I241" s="8" t="s">
        <v>17</v>
      </c>
    </row>
    <row r="242" spans="1:9" ht="12.5">
      <c r="A242" s="8">
        <v>1011114</v>
      </c>
      <c r="B242" s="9" t="s">
        <v>597</v>
      </c>
      <c r="C242" s="9" t="s">
        <v>598</v>
      </c>
      <c r="D242" s="9" t="s">
        <v>599</v>
      </c>
      <c r="E242" s="9" t="s">
        <v>600</v>
      </c>
      <c r="F242" s="9" t="s">
        <v>268</v>
      </c>
      <c r="G242" s="10">
        <v>4.45</v>
      </c>
      <c r="H242" s="11">
        <v>12.4</v>
      </c>
      <c r="I242" s="8" t="s">
        <v>17</v>
      </c>
    </row>
    <row r="243" spans="1:9" ht="12.5">
      <c r="A243" s="8">
        <v>2768824</v>
      </c>
      <c r="B243" s="9" t="s">
        <v>597</v>
      </c>
      <c r="C243" s="9" t="s">
        <v>601</v>
      </c>
      <c r="D243" s="9" t="s">
        <v>602</v>
      </c>
      <c r="E243" s="9" t="s">
        <v>603</v>
      </c>
      <c r="F243" s="9" t="s">
        <v>20</v>
      </c>
      <c r="G243" s="10">
        <v>4.72</v>
      </c>
      <c r="H243" s="11">
        <v>20.6</v>
      </c>
      <c r="I243" s="8" t="s">
        <v>21</v>
      </c>
    </row>
    <row r="244" spans="1:9" ht="12.5">
      <c r="A244" s="8">
        <v>1312914</v>
      </c>
      <c r="B244" s="9" t="s">
        <v>597</v>
      </c>
      <c r="C244" s="9" t="s">
        <v>604</v>
      </c>
      <c r="D244" s="9" t="s">
        <v>605</v>
      </c>
      <c r="E244" s="9" t="s">
        <v>606</v>
      </c>
      <c r="F244" s="9" t="s">
        <v>234</v>
      </c>
      <c r="G244" s="10">
        <v>4.43</v>
      </c>
      <c r="H244" s="11">
        <v>7.2</v>
      </c>
      <c r="I244" s="8" t="s">
        <v>17</v>
      </c>
    </row>
    <row r="245" spans="1:9" ht="12.5">
      <c r="A245" s="8">
        <v>1357214</v>
      </c>
      <c r="B245" s="9" t="s">
        <v>597</v>
      </c>
      <c r="C245" s="9" t="s">
        <v>601</v>
      </c>
      <c r="D245" s="9" t="s">
        <v>607</v>
      </c>
      <c r="E245" s="9" t="s">
        <v>608</v>
      </c>
      <c r="F245" s="9" t="s">
        <v>609</v>
      </c>
      <c r="G245" s="10">
        <v>4.41</v>
      </c>
      <c r="H245" s="11">
        <v>3.2</v>
      </c>
      <c r="I245" s="8" t="s">
        <v>17</v>
      </c>
    </row>
    <row r="246" spans="1:9" ht="12.5">
      <c r="A246" s="8">
        <v>1644504</v>
      </c>
      <c r="B246" s="9" t="s">
        <v>597</v>
      </c>
      <c r="C246" s="9" t="s">
        <v>598</v>
      </c>
      <c r="D246" s="9" t="s">
        <v>610</v>
      </c>
      <c r="E246" s="9" t="s">
        <v>611</v>
      </c>
      <c r="F246" s="9" t="s">
        <v>234</v>
      </c>
      <c r="G246" s="10">
        <v>4.3899999999999997</v>
      </c>
      <c r="H246" s="11">
        <v>5.4</v>
      </c>
      <c r="I246" s="8" t="s">
        <v>72</v>
      </c>
    </row>
    <row r="247" spans="1:9" ht="12.5">
      <c r="A247" s="8">
        <v>2037912</v>
      </c>
      <c r="B247" s="9" t="s">
        <v>597</v>
      </c>
      <c r="C247" s="9" t="s">
        <v>604</v>
      </c>
      <c r="D247" s="9" t="s">
        <v>612</v>
      </c>
      <c r="E247" s="9" t="s">
        <v>613</v>
      </c>
      <c r="F247" s="9" t="s">
        <v>614</v>
      </c>
      <c r="G247" s="10">
        <v>4.43</v>
      </c>
      <c r="H247" s="11">
        <v>8</v>
      </c>
      <c r="I247" s="8" t="s">
        <v>17</v>
      </c>
    </row>
    <row r="248" spans="1:9" ht="12.5">
      <c r="A248" s="8">
        <v>3250670</v>
      </c>
      <c r="B248" s="9" t="s">
        <v>597</v>
      </c>
      <c r="C248" s="9" t="s">
        <v>598</v>
      </c>
      <c r="D248" s="9" t="s">
        <v>615</v>
      </c>
      <c r="E248" s="9" t="s">
        <v>616</v>
      </c>
      <c r="F248" s="9" t="s">
        <v>268</v>
      </c>
      <c r="G248" s="10">
        <v>4.59</v>
      </c>
      <c r="H248" s="11">
        <v>13.9</v>
      </c>
      <c r="I248" s="8" t="s">
        <v>17</v>
      </c>
    </row>
    <row r="249" spans="1:9" ht="12.5">
      <c r="A249" s="8">
        <v>2600016</v>
      </c>
      <c r="B249" s="9" t="s">
        <v>597</v>
      </c>
      <c r="C249" s="9" t="s">
        <v>598</v>
      </c>
      <c r="D249" s="9" t="s">
        <v>617</v>
      </c>
      <c r="E249" s="9" t="s">
        <v>618</v>
      </c>
      <c r="F249" s="9" t="s">
        <v>268</v>
      </c>
      <c r="G249" s="10">
        <v>4.67</v>
      </c>
      <c r="H249" s="11">
        <v>5.7</v>
      </c>
      <c r="I249" s="8" t="s">
        <v>21</v>
      </c>
    </row>
    <row r="250" spans="1:9" ht="12.5">
      <c r="A250" s="8">
        <v>2674024</v>
      </c>
      <c r="B250" s="9" t="s">
        <v>597</v>
      </c>
      <c r="C250" s="9" t="s">
        <v>604</v>
      </c>
      <c r="D250" s="9" t="s">
        <v>619</v>
      </c>
      <c r="E250" s="9" t="s">
        <v>620</v>
      </c>
      <c r="F250" s="9" t="s">
        <v>621</v>
      </c>
      <c r="G250" s="10">
        <v>4.57</v>
      </c>
      <c r="H250" s="11">
        <v>8.1</v>
      </c>
      <c r="I250" s="8" t="s">
        <v>17</v>
      </c>
    </row>
    <row r="251" spans="1:9" ht="12.5">
      <c r="A251" s="8">
        <v>1477838</v>
      </c>
      <c r="B251" s="9" t="s">
        <v>597</v>
      </c>
      <c r="C251" s="9" t="s">
        <v>601</v>
      </c>
      <c r="D251" s="9" t="s">
        <v>622</v>
      </c>
      <c r="E251" s="9" t="s">
        <v>623</v>
      </c>
      <c r="F251" s="9" t="s">
        <v>609</v>
      </c>
      <c r="G251" s="10">
        <v>4.38</v>
      </c>
      <c r="H251" s="11">
        <v>2.7</v>
      </c>
      <c r="I251" s="8" t="s">
        <v>17</v>
      </c>
    </row>
    <row r="252" spans="1:9" ht="12.5">
      <c r="A252" s="8">
        <v>2344572</v>
      </c>
      <c r="B252" s="9" t="s">
        <v>597</v>
      </c>
      <c r="C252" s="9" t="s">
        <v>601</v>
      </c>
      <c r="D252" s="9" t="s">
        <v>624</v>
      </c>
      <c r="E252" s="9" t="s">
        <v>624</v>
      </c>
      <c r="F252" s="9" t="s">
        <v>614</v>
      </c>
      <c r="G252" s="10">
        <v>4.57</v>
      </c>
      <c r="H252" s="11">
        <v>1.9</v>
      </c>
      <c r="I252" s="8" t="s">
        <v>72</v>
      </c>
    </row>
    <row r="253" spans="1:9" ht="12.5">
      <c r="A253" s="8">
        <v>2760888</v>
      </c>
      <c r="B253" s="9" t="s">
        <v>597</v>
      </c>
      <c r="C253" s="9" t="s">
        <v>598</v>
      </c>
      <c r="D253" s="9" t="s">
        <v>625</v>
      </c>
      <c r="E253" s="9" t="s">
        <v>626</v>
      </c>
      <c r="F253" s="9" t="s">
        <v>627</v>
      </c>
      <c r="G253" s="10">
        <v>3.72</v>
      </c>
      <c r="H253" s="11">
        <v>5.3</v>
      </c>
      <c r="I253" s="8" t="s">
        <v>21</v>
      </c>
    </row>
    <row r="254" spans="1:9" ht="12.5">
      <c r="A254" s="8">
        <v>1323218</v>
      </c>
      <c r="B254" s="9" t="s">
        <v>597</v>
      </c>
      <c r="C254" s="9" t="s">
        <v>598</v>
      </c>
      <c r="D254" s="9" t="s">
        <v>628</v>
      </c>
      <c r="E254" s="9" t="s">
        <v>629</v>
      </c>
      <c r="F254" s="9" t="s">
        <v>268</v>
      </c>
      <c r="G254" s="10">
        <v>4.3499999999999996</v>
      </c>
      <c r="H254" s="11">
        <v>6.7</v>
      </c>
      <c r="I254" s="8" t="s">
        <v>21</v>
      </c>
    </row>
    <row r="255" spans="1:9" ht="12.5">
      <c r="A255" s="8">
        <v>1965698</v>
      </c>
      <c r="B255" s="9" t="s">
        <v>597</v>
      </c>
      <c r="C255" s="9" t="s">
        <v>601</v>
      </c>
      <c r="D255" s="9" t="s">
        <v>630</v>
      </c>
      <c r="E255" s="9" t="s">
        <v>631</v>
      </c>
      <c r="F255" s="9" t="s">
        <v>609</v>
      </c>
      <c r="G255" s="10">
        <v>4.17</v>
      </c>
      <c r="H255" s="11">
        <v>3.2</v>
      </c>
      <c r="I255" s="8" t="s">
        <v>17</v>
      </c>
    </row>
    <row r="256" spans="1:9" ht="12.5">
      <c r="A256" s="8">
        <v>2506866</v>
      </c>
      <c r="B256" s="9" t="s">
        <v>597</v>
      </c>
      <c r="C256" s="9" t="s">
        <v>601</v>
      </c>
      <c r="D256" s="9" t="s">
        <v>632</v>
      </c>
      <c r="E256" s="9" t="s">
        <v>633</v>
      </c>
      <c r="F256" s="9" t="s">
        <v>609</v>
      </c>
      <c r="G256" s="10">
        <v>4.0599999999999996</v>
      </c>
      <c r="H256" s="11">
        <v>3.7</v>
      </c>
      <c r="I256" s="8" t="s">
        <v>17</v>
      </c>
    </row>
    <row r="257" spans="1:9" ht="12.5">
      <c r="A257" s="8">
        <v>1521426</v>
      </c>
      <c r="B257" s="9" t="s">
        <v>597</v>
      </c>
      <c r="C257" s="9" t="s">
        <v>601</v>
      </c>
      <c r="D257" s="9" t="s">
        <v>634</v>
      </c>
      <c r="E257" s="9" t="s">
        <v>635</v>
      </c>
      <c r="F257" s="9" t="s">
        <v>609</v>
      </c>
      <c r="G257" s="10">
        <v>4.12</v>
      </c>
      <c r="H257" s="11"/>
      <c r="I257" s="8" t="s">
        <v>21</v>
      </c>
    </row>
    <row r="258" spans="1:9" ht="12.5">
      <c r="A258" s="8">
        <v>2507026</v>
      </c>
      <c r="B258" s="9" t="s">
        <v>597</v>
      </c>
      <c r="C258" s="9" t="s">
        <v>601</v>
      </c>
      <c r="D258" s="9" t="s">
        <v>636</v>
      </c>
      <c r="E258" s="9" t="s">
        <v>637</v>
      </c>
      <c r="F258" s="9" t="s">
        <v>609</v>
      </c>
      <c r="G258" s="10">
        <v>4.59</v>
      </c>
      <c r="H258" s="11">
        <v>3</v>
      </c>
      <c r="I258" s="8" t="s">
        <v>17</v>
      </c>
    </row>
    <row r="259" spans="1:9" ht="12.5">
      <c r="A259" s="8">
        <v>2783496</v>
      </c>
      <c r="B259" s="9" t="s">
        <v>597</v>
      </c>
      <c r="C259" s="9" t="s">
        <v>601</v>
      </c>
      <c r="D259" s="9" t="s">
        <v>638</v>
      </c>
      <c r="E259" s="9" t="s">
        <v>639</v>
      </c>
      <c r="F259" s="9" t="s">
        <v>609</v>
      </c>
      <c r="G259" s="10">
        <v>4.53</v>
      </c>
      <c r="H259" s="11">
        <v>6</v>
      </c>
      <c r="I259" s="8" t="s">
        <v>21</v>
      </c>
    </row>
    <row r="260" spans="1:9" ht="12.5">
      <c r="A260" s="8">
        <v>2852716</v>
      </c>
      <c r="B260" s="9" t="s">
        <v>597</v>
      </c>
      <c r="C260" s="9" t="s">
        <v>601</v>
      </c>
      <c r="D260" s="9" t="s">
        <v>640</v>
      </c>
      <c r="E260" s="9" t="s">
        <v>641</v>
      </c>
      <c r="F260" s="9" t="s">
        <v>609</v>
      </c>
      <c r="G260" s="10">
        <v>4.5</v>
      </c>
      <c r="H260" s="11">
        <v>5.3</v>
      </c>
      <c r="I260" s="8" t="s">
        <v>21</v>
      </c>
    </row>
    <row r="261" spans="1:9" ht="12.5">
      <c r="A261" s="8">
        <v>1324878</v>
      </c>
      <c r="B261" s="9" t="s">
        <v>597</v>
      </c>
      <c r="C261" s="9" t="s">
        <v>604</v>
      </c>
      <c r="D261" s="9" t="s">
        <v>642</v>
      </c>
      <c r="E261" s="9" t="s">
        <v>643</v>
      </c>
      <c r="F261" s="9" t="s">
        <v>644</v>
      </c>
      <c r="G261" s="10">
        <v>4.46</v>
      </c>
      <c r="H261" s="11">
        <v>7.5</v>
      </c>
      <c r="I261" s="8" t="s">
        <v>17</v>
      </c>
    </row>
    <row r="262" spans="1:9" ht="12.5">
      <c r="A262" s="8">
        <v>1543124</v>
      </c>
      <c r="B262" s="9" t="s">
        <v>597</v>
      </c>
      <c r="C262" s="9" t="s">
        <v>598</v>
      </c>
      <c r="D262" s="9" t="s">
        <v>645</v>
      </c>
      <c r="E262" s="9" t="s">
        <v>646</v>
      </c>
      <c r="F262" s="9" t="s">
        <v>234</v>
      </c>
      <c r="G262" s="10">
        <v>4.5199999999999996</v>
      </c>
      <c r="H262" s="11">
        <v>6.8</v>
      </c>
      <c r="I262" s="8" t="s">
        <v>17</v>
      </c>
    </row>
    <row r="263" spans="1:9" ht="12.5">
      <c r="A263" s="8">
        <v>3371142</v>
      </c>
      <c r="B263" s="9" t="s">
        <v>597</v>
      </c>
      <c r="C263" s="9" t="s">
        <v>601</v>
      </c>
      <c r="D263" s="9" t="s">
        <v>647</v>
      </c>
      <c r="E263" s="9" t="s">
        <v>647</v>
      </c>
      <c r="F263" s="9" t="s">
        <v>648</v>
      </c>
      <c r="G263" s="10">
        <v>4.75</v>
      </c>
      <c r="H263" s="11">
        <v>18.399999999999999</v>
      </c>
      <c r="I263" s="8" t="s">
        <v>259</v>
      </c>
    </row>
    <row r="264" spans="1:9" ht="12.5">
      <c r="A264" s="8">
        <v>1511232</v>
      </c>
      <c r="B264" s="9" t="s">
        <v>597</v>
      </c>
      <c r="C264" s="9" t="s">
        <v>649</v>
      </c>
      <c r="D264" s="9" t="s">
        <v>650</v>
      </c>
      <c r="E264" s="9" t="s">
        <v>651</v>
      </c>
      <c r="F264" s="9" t="s">
        <v>153</v>
      </c>
      <c r="G264" s="10">
        <v>4.45</v>
      </c>
      <c r="H264" s="11">
        <v>6.5</v>
      </c>
      <c r="I264" s="8" t="s">
        <v>17</v>
      </c>
    </row>
    <row r="265" spans="1:9" ht="12.5">
      <c r="A265" s="8">
        <v>3054580</v>
      </c>
      <c r="B265" s="9" t="s">
        <v>597</v>
      </c>
      <c r="C265" s="9" t="s">
        <v>598</v>
      </c>
      <c r="D265" s="9" t="s">
        <v>652</v>
      </c>
      <c r="E265" s="9" t="s">
        <v>653</v>
      </c>
      <c r="F265" s="9" t="s">
        <v>654</v>
      </c>
      <c r="G265" s="10">
        <v>4.9400000000000004</v>
      </c>
      <c r="H265" s="11">
        <v>7.4</v>
      </c>
      <c r="I265" s="8" t="s">
        <v>17</v>
      </c>
    </row>
    <row r="266" spans="1:9" ht="12.5">
      <c r="A266" s="8">
        <v>2023658</v>
      </c>
      <c r="B266" s="9" t="s">
        <v>597</v>
      </c>
      <c r="C266" s="9" t="s">
        <v>604</v>
      </c>
      <c r="D266" s="9" t="s">
        <v>655</v>
      </c>
      <c r="E266" s="9" t="s">
        <v>656</v>
      </c>
      <c r="F266" s="9" t="s">
        <v>657</v>
      </c>
      <c r="G266" s="10">
        <v>4.45</v>
      </c>
      <c r="H266" s="11">
        <v>4.7</v>
      </c>
      <c r="I266" s="8" t="s">
        <v>17</v>
      </c>
    </row>
    <row r="267" spans="1:9" ht="12.5">
      <c r="A267" s="8">
        <v>2319258</v>
      </c>
      <c r="B267" s="9" t="s">
        <v>597</v>
      </c>
      <c r="C267" s="9" t="s">
        <v>604</v>
      </c>
      <c r="D267" s="9" t="s">
        <v>658</v>
      </c>
      <c r="E267" s="9" t="s">
        <v>659</v>
      </c>
      <c r="F267" s="9" t="s">
        <v>657</v>
      </c>
      <c r="G267" s="10">
        <v>5</v>
      </c>
      <c r="H267" s="11">
        <v>1.4</v>
      </c>
      <c r="I267" s="8" t="s">
        <v>72</v>
      </c>
    </row>
    <row r="268" spans="1:9" ht="12.5">
      <c r="A268" s="8">
        <v>3104846</v>
      </c>
      <c r="B268" s="9" t="s">
        <v>597</v>
      </c>
      <c r="C268" s="9" t="s">
        <v>604</v>
      </c>
      <c r="D268" s="9" t="s">
        <v>660</v>
      </c>
      <c r="E268" s="9" t="s">
        <v>661</v>
      </c>
      <c r="F268" s="9" t="s">
        <v>644</v>
      </c>
      <c r="G268" s="10">
        <v>4.38</v>
      </c>
      <c r="H268" s="11">
        <v>2</v>
      </c>
      <c r="I268" s="8" t="s">
        <v>17</v>
      </c>
    </row>
    <row r="269" spans="1:9" ht="12.5">
      <c r="A269" s="8">
        <v>2194538</v>
      </c>
      <c r="B269" s="9" t="s">
        <v>597</v>
      </c>
      <c r="C269" s="9" t="s">
        <v>649</v>
      </c>
      <c r="D269" s="9" t="s">
        <v>662</v>
      </c>
      <c r="E269" s="9" t="s">
        <v>663</v>
      </c>
      <c r="F269" s="9" t="s">
        <v>664</v>
      </c>
      <c r="G269" s="10">
        <v>4.26</v>
      </c>
      <c r="H269" s="11">
        <v>3.4</v>
      </c>
      <c r="I269" s="8" t="s">
        <v>21</v>
      </c>
    </row>
    <row r="270" spans="1:9" ht="12.5">
      <c r="A270" s="8">
        <v>2909750</v>
      </c>
      <c r="B270" s="9" t="s">
        <v>597</v>
      </c>
      <c r="C270" s="9" t="s">
        <v>598</v>
      </c>
      <c r="D270" s="9" t="s">
        <v>665</v>
      </c>
      <c r="E270" s="9" t="s">
        <v>665</v>
      </c>
      <c r="F270" s="9" t="s">
        <v>666</v>
      </c>
      <c r="G270" s="10">
        <v>4.55</v>
      </c>
      <c r="H270" s="11">
        <v>6.3</v>
      </c>
      <c r="I270" s="8" t="s">
        <v>21</v>
      </c>
    </row>
    <row r="271" spans="1:9" ht="12.5">
      <c r="A271" s="8">
        <v>1408194</v>
      </c>
      <c r="B271" s="9" t="s">
        <v>597</v>
      </c>
      <c r="C271" s="9" t="s">
        <v>601</v>
      </c>
      <c r="D271" s="9" t="s">
        <v>667</v>
      </c>
      <c r="E271" s="9" t="s">
        <v>668</v>
      </c>
      <c r="F271" s="9" t="s">
        <v>609</v>
      </c>
      <c r="G271" s="10">
        <v>4.59</v>
      </c>
      <c r="H271" s="11"/>
      <c r="I271" s="8" t="s">
        <v>21</v>
      </c>
    </row>
    <row r="272" spans="1:9" ht="12.5">
      <c r="A272" s="8">
        <v>2826329</v>
      </c>
      <c r="B272" s="9" t="s">
        <v>597</v>
      </c>
      <c r="C272" s="9" t="s">
        <v>601</v>
      </c>
      <c r="D272" s="9" t="s">
        <v>669</v>
      </c>
      <c r="E272" s="9" t="s">
        <v>670</v>
      </c>
      <c r="F272" s="9" t="s">
        <v>671</v>
      </c>
      <c r="G272" s="10">
        <v>3.48</v>
      </c>
      <c r="H272" s="11"/>
      <c r="I272" s="8" t="s">
        <v>21</v>
      </c>
    </row>
    <row r="273" spans="1:9" ht="12.5">
      <c r="A273" s="8">
        <v>3177992</v>
      </c>
      <c r="B273" s="9" t="s">
        <v>672</v>
      </c>
      <c r="C273" s="9" t="s">
        <v>673</v>
      </c>
      <c r="D273" s="9" t="s">
        <v>674</v>
      </c>
      <c r="E273" s="9" t="s">
        <v>675</v>
      </c>
      <c r="F273" s="9" t="s">
        <v>676</v>
      </c>
      <c r="G273" s="10">
        <v>4.29</v>
      </c>
      <c r="H273" s="11">
        <v>1.9</v>
      </c>
      <c r="I273" s="8" t="s">
        <v>17</v>
      </c>
    </row>
    <row r="274" spans="1:9" ht="12.5">
      <c r="A274" s="8">
        <v>414046</v>
      </c>
      <c r="B274" s="9" t="s">
        <v>672</v>
      </c>
      <c r="C274" s="9" t="s">
        <v>677</v>
      </c>
      <c r="D274" s="9" t="s">
        <v>678</v>
      </c>
      <c r="E274" s="9" t="s">
        <v>679</v>
      </c>
      <c r="F274" s="9" t="s">
        <v>680</v>
      </c>
      <c r="G274" s="10">
        <v>4.5199999999999996</v>
      </c>
      <c r="H274" s="11">
        <v>0.9</v>
      </c>
      <c r="I274" s="8" t="s">
        <v>21</v>
      </c>
    </row>
    <row r="275" spans="1:9" ht="12.5">
      <c r="A275" s="8">
        <v>2343838</v>
      </c>
      <c r="B275" s="9" t="s">
        <v>672</v>
      </c>
      <c r="C275" s="9" t="s">
        <v>681</v>
      </c>
      <c r="D275" s="9" t="s">
        <v>682</v>
      </c>
      <c r="E275" s="9" t="s">
        <v>683</v>
      </c>
      <c r="F275" s="9" t="s">
        <v>684</v>
      </c>
      <c r="G275" s="10">
        <v>4.28</v>
      </c>
      <c r="H275" s="11">
        <v>1</v>
      </c>
      <c r="I275" s="8" t="s">
        <v>21</v>
      </c>
    </row>
    <row r="276" spans="1:9" ht="12.5">
      <c r="A276" s="8">
        <v>2839290</v>
      </c>
      <c r="B276" s="9" t="s">
        <v>672</v>
      </c>
      <c r="C276" s="9" t="s">
        <v>677</v>
      </c>
      <c r="D276" s="9" t="s">
        <v>685</v>
      </c>
      <c r="E276" s="9" t="s">
        <v>686</v>
      </c>
      <c r="F276" s="9" t="s">
        <v>684</v>
      </c>
      <c r="G276" s="10">
        <v>4.7699999999999996</v>
      </c>
      <c r="H276" s="11">
        <v>1</v>
      </c>
      <c r="I276" s="8" t="s">
        <v>17</v>
      </c>
    </row>
    <row r="277" spans="1:9" ht="12.5">
      <c r="A277" s="8">
        <v>3105512</v>
      </c>
      <c r="B277" s="9" t="s">
        <v>672</v>
      </c>
      <c r="C277" s="9" t="s">
        <v>681</v>
      </c>
      <c r="D277" s="9" t="s">
        <v>687</v>
      </c>
      <c r="E277" s="9" t="s">
        <v>688</v>
      </c>
      <c r="F277" s="9" t="s">
        <v>689</v>
      </c>
      <c r="G277" s="10">
        <v>4.3899999999999997</v>
      </c>
      <c r="H277" s="11">
        <v>2.1</v>
      </c>
      <c r="I277" s="8" t="s">
        <v>21</v>
      </c>
    </row>
    <row r="278" spans="1:9" ht="12.5">
      <c r="A278" s="8">
        <v>923094</v>
      </c>
      <c r="B278" s="9" t="s">
        <v>672</v>
      </c>
      <c r="C278" s="9" t="s">
        <v>677</v>
      </c>
      <c r="D278" s="9" t="s">
        <v>690</v>
      </c>
      <c r="E278" s="9" t="s">
        <v>691</v>
      </c>
      <c r="F278" s="9" t="s">
        <v>692</v>
      </c>
      <c r="G278" s="10">
        <v>4.42</v>
      </c>
      <c r="H278" s="11">
        <v>3</v>
      </c>
      <c r="I278" s="8" t="s">
        <v>17</v>
      </c>
    </row>
    <row r="279" spans="1:9" ht="12.5">
      <c r="A279" s="8">
        <v>2892470</v>
      </c>
      <c r="B279" s="9" t="s">
        <v>672</v>
      </c>
      <c r="C279" s="9" t="s">
        <v>673</v>
      </c>
      <c r="D279" s="9" t="s">
        <v>693</v>
      </c>
      <c r="E279" s="9" t="s">
        <v>694</v>
      </c>
      <c r="F279" s="9" t="s">
        <v>16</v>
      </c>
      <c r="G279" s="10">
        <v>4.32</v>
      </c>
      <c r="H279" s="11">
        <v>2.5</v>
      </c>
      <c r="I279" s="8" t="s">
        <v>21</v>
      </c>
    </row>
    <row r="280" spans="1:9" ht="12.5">
      <c r="A280" s="8">
        <v>2097086</v>
      </c>
      <c r="B280" s="9" t="s">
        <v>672</v>
      </c>
      <c r="C280" s="9" t="s">
        <v>695</v>
      </c>
      <c r="D280" s="9" t="s">
        <v>696</v>
      </c>
      <c r="E280" s="9" t="s">
        <v>697</v>
      </c>
      <c r="F280" s="9" t="s">
        <v>698</v>
      </c>
      <c r="G280" s="10">
        <v>4.05</v>
      </c>
      <c r="H280" s="11">
        <v>0.9</v>
      </c>
      <c r="I280" s="8" t="s">
        <v>21</v>
      </c>
    </row>
    <row r="281" spans="1:9" ht="12.5">
      <c r="A281" s="8">
        <v>2860286</v>
      </c>
      <c r="B281" s="9" t="s">
        <v>672</v>
      </c>
      <c r="C281" s="9" t="s">
        <v>681</v>
      </c>
      <c r="D281" s="9" t="s">
        <v>699</v>
      </c>
      <c r="E281" s="9" t="s">
        <v>700</v>
      </c>
      <c r="F281" s="9" t="s">
        <v>684</v>
      </c>
      <c r="G281" s="10">
        <v>4.51</v>
      </c>
      <c r="H281" s="11">
        <v>2.1</v>
      </c>
      <c r="I281" s="8" t="s">
        <v>17</v>
      </c>
    </row>
    <row r="282" spans="1:9" ht="12.5">
      <c r="A282" s="8">
        <v>2783532</v>
      </c>
      <c r="B282" s="9" t="s">
        <v>672</v>
      </c>
      <c r="C282" s="9" t="s">
        <v>677</v>
      </c>
      <c r="D282" s="9" t="s">
        <v>701</v>
      </c>
      <c r="E282" s="9" t="s">
        <v>702</v>
      </c>
      <c r="F282" s="9" t="s">
        <v>684</v>
      </c>
      <c r="G282" s="10">
        <v>4.6399999999999997</v>
      </c>
      <c r="H282" s="11">
        <v>1.3</v>
      </c>
      <c r="I282" s="8" t="s">
        <v>21</v>
      </c>
    </row>
    <row r="283" spans="1:9" ht="12.5">
      <c r="A283" s="8">
        <v>2275539</v>
      </c>
      <c r="B283" s="9" t="s">
        <v>672</v>
      </c>
      <c r="C283" s="9" t="s">
        <v>677</v>
      </c>
      <c r="D283" s="9" t="s">
        <v>703</v>
      </c>
      <c r="E283" s="9" t="s">
        <v>704</v>
      </c>
      <c r="F283" s="9" t="s">
        <v>684</v>
      </c>
      <c r="G283" s="10">
        <v>4.05</v>
      </c>
      <c r="H283" s="11">
        <v>1</v>
      </c>
      <c r="I283" s="8" t="s">
        <v>21</v>
      </c>
    </row>
    <row r="284" spans="1:9" ht="12.5">
      <c r="A284" s="8">
        <v>2398120</v>
      </c>
      <c r="B284" s="9" t="s">
        <v>672</v>
      </c>
      <c r="C284" s="9" t="s">
        <v>677</v>
      </c>
      <c r="D284" s="9" t="s">
        <v>705</v>
      </c>
      <c r="E284" s="9" t="s">
        <v>706</v>
      </c>
      <c r="F284" s="9" t="s">
        <v>684</v>
      </c>
      <c r="G284" s="10">
        <v>4.21</v>
      </c>
      <c r="H284" s="11">
        <v>1</v>
      </c>
      <c r="I284" s="8" t="s">
        <v>21</v>
      </c>
    </row>
    <row r="285" spans="1:9" ht="12.5">
      <c r="A285" s="8">
        <v>2329320</v>
      </c>
      <c r="B285" s="9" t="s">
        <v>672</v>
      </c>
      <c r="C285" s="9" t="s">
        <v>677</v>
      </c>
      <c r="D285" s="9" t="s">
        <v>707</v>
      </c>
      <c r="E285" s="9" t="s">
        <v>708</v>
      </c>
      <c r="F285" s="9" t="s">
        <v>698</v>
      </c>
      <c r="G285" s="10">
        <v>4.41</v>
      </c>
      <c r="H285" s="11">
        <v>1.8</v>
      </c>
      <c r="I285" s="8" t="s">
        <v>21</v>
      </c>
    </row>
    <row r="286" spans="1:9" ht="12.5">
      <c r="A286" s="8">
        <v>3145664</v>
      </c>
      <c r="B286" s="9" t="s">
        <v>672</v>
      </c>
      <c r="C286" s="9" t="s">
        <v>677</v>
      </c>
      <c r="D286" s="9" t="s">
        <v>709</v>
      </c>
      <c r="E286" s="9" t="s">
        <v>710</v>
      </c>
      <c r="F286" s="9" t="s">
        <v>684</v>
      </c>
      <c r="G286" s="10">
        <v>4.62</v>
      </c>
      <c r="H286" s="11">
        <v>1.7</v>
      </c>
      <c r="I286" s="8" t="s">
        <v>21</v>
      </c>
    </row>
    <row r="287" spans="1:9" ht="12.5">
      <c r="A287" s="8">
        <v>2248898</v>
      </c>
      <c r="B287" s="9" t="s">
        <v>672</v>
      </c>
      <c r="C287" s="9" t="s">
        <v>677</v>
      </c>
      <c r="D287" s="9" t="s">
        <v>711</v>
      </c>
      <c r="E287" s="9" t="s">
        <v>712</v>
      </c>
      <c r="F287" s="9" t="s">
        <v>684</v>
      </c>
      <c r="G287" s="10">
        <v>4.09</v>
      </c>
      <c r="H287" s="11">
        <v>1.2</v>
      </c>
      <c r="I287" s="8" t="s">
        <v>21</v>
      </c>
    </row>
    <row r="288" spans="1:9" ht="12.5">
      <c r="A288" s="8">
        <v>2136228</v>
      </c>
      <c r="B288" s="9" t="s">
        <v>672</v>
      </c>
      <c r="C288" s="9" t="s">
        <v>677</v>
      </c>
      <c r="D288" s="9" t="s">
        <v>713</v>
      </c>
      <c r="E288" s="9" t="s">
        <v>714</v>
      </c>
      <c r="F288" s="9" t="s">
        <v>684</v>
      </c>
      <c r="G288" s="10">
        <v>4.5999999999999996</v>
      </c>
      <c r="H288" s="11">
        <v>1.6</v>
      </c>
      <c r="I288" s="8" t="s">
        <v>21</v>
      </c>
    </row>
    <row r="289" spans="1:9" ht="12.5">
      <c r="A289" s="8">
        <v>2744388</v>
      </c>
      <c r="B289" s="9" t="s">
        <v>672</v>
      </c>
      <c r="C289" s="9" t="s">
        <v>677</v>
      </c>
      <c r="D289" s="9" t="s">
        <v>715</v>
      </c>
      <c r="E289" s="9" t="s">
        <v>716</v>
      </c>
      <c r="F289" s="9" t="s">
        <v>684</v>
      </c>
      <c r="G289" s="10">
        <v>4.51</v>
      </c>
      <c r="H289" s="11">
        <v>1.4</v>
      </c>
      <c r="I289" s="8" t="s">
        <v>21</v>
      </c>
    </row>
    <row r="290" spans="1:9" ht="12.5">
      <c r="A290" s="8">
        <v>2683004</v>
      </c>
      <c r="B290" s="9" t="s">
        <v>672</v>
      </c>
      <c r="C290" s="9" t="s">
        <v>673</v>
      </c>
      <c r="D290" s="9" t="s">
        <v>717</v>
      </c>
      <c r="E290" s="9" t="s">
        <v>718</v>
      </c>
      <c r="F290" s="9" t="s">
        <v>16</v>
      </c>
      <c r="G290" s="10">
        <v>4.74</v>
      </c>
      <c r="H290" s="11">
        <v>3.1</v>
      </c>
      <c r="I290" s="8" t="s">
        <v>21</v>
      </c>
    </row>
    <row r="291" spans="1:9" ht="12.5">
      <c r="A291" s="8">
        <v>1355250</v>
      </c>
      <c r="B291" s="9" t="s">
        <v>672</v>
      </c>
      <c r="C291" s="9" t="s">
        <v>677</v>
      </c>
      <c r="D291" s="9" t="s">
        <v>719</v>
      </c>
      <c r="E291" s="9" t="s">
        <v>720</v>
      </c>
      <c r="F291" s="9" t="s">
        <v>721</v>
      </c>
      <c r="G291" s="10">
        <v>4.0199999999999996</v>
      </c>
      <c r="H291" s="11">
        <v>0.9</v>
      </c>
      <c r="I291" s="8" t="s">
        <v>17</v>
      </c>
    </row>
    <row r="292" spans="1:9" ht="12.5">
      <c r="A292" s="8">
        <v>1629468</v>
      </c>
      <c r="B292" s="9" t="s">
        <v>672</v>
      </c>
      <c r="C292" s="9" t="s">
        <v>677</v>
      </c>
      <c r="D292" s="9" t="s">
        <v>722</v>
      </c>
      <c r="E292" s="9" t="s">
        <v>723</v>
      </c>
      <c r="F292" s="9" t="s">
        <v>692</v>
      </c>
      <c r="G292" s="10">
        <v>4.79</v>
      </c>
      <c r="H292" s="11">
        <v>1.5</v>
      </c>
      <c r="I292" s="8" t="s">
        <v>17</v>
      </c>
    </row>
    <row r="293" spans="1:9" ht="12.5">
      <c r="A293" s="8">
        <v>2113424</v>
      </c>
      <c r="B293" s="9" t="s">
        <v>672</v>
      </c>
      <c r="C293" s="9" t="s">
        <v>681</v>
      </c>
      <c r="D293" s="9" t="s">
        <v>724</v>
      </c>
      <c r="E293" s="9" t="s">
        <v>725</v>
      </c>
      <c r="F293" s="9" t="s">
        <v>684</v>
      </c>
      <c r="G293" s="10">
        <v>4.25</v>
      </c>
      <c r="H293" s="11">
        <v>1.3</v>
      </c>
      <c r="I293" s="8" t="s">
        <v>21</v>
      </c>
    </row>
    <row r="294" spans="1:9" ht="12.5">
      <c r="A294" s="8">
        <v>2003920</v>
      </c>
      <c r="B294" s="9" t="s">
        <v>672</v>
      </c>
      <c r="C294" s="9" t="s">
        <v>695</v>
      </c>
      <c r="D294" s="9" t="s">
        <v>726</v>
      </c>
      <c r="E294" s="9" t="s">
        <v>726</v>
      </c>
      <c r="F294" s="9" t="s">
        <v>727</v>
      </c>
      <c r="G294" s="10">
        <v>3.93</v>
      </c>
      <c r="H294" s="11">
        <v>1.4</v>
      </c>
      <c r="I294" s="8" t="s">
        <v>21</v>
      </c>
    </row>
    <row r="295" spans="1:9" ht="12.5">
      <c r="A295" s="8">
        <v>2346550</v>
      </c>
      <c r="B295" s="9" t="s">
        <v>672</v>
      </c>
      <c r="C295" s="9" t="s">
        <v>673</v>
      </c>
      <c r="D295" s="9" t="s">
        <v>728</v>
      </c>
      <c r="E295" s="9" t="s">
        <v>729</v>
      </c>
      <c r="F295" s="9" t="s">
        <v>730</v>
      </c>
      <c r="G295" s="10">
        <v>4.42</v>
      </c>
      <c r="H295" s="11">
        <v>1.2</v>
      </c>
      <c r="I295" s="8" t="s">
        <v>21</v>
      </c>
    </row>
    <row r="296" spans="1:9" ht="12.5">
      <c r="A296" s="8">
        <v>3207209</v>
      </c>
      <c r="B296" s="9" t="s">
        <v>672</v>
      </c>
      <c r="C296" s="9" t="s">
        <v>673</v>
      </c>
      <c r="D296" s="9" t="s">
        <v>731</v>
      </c>
      <c r="E296" s="9" t="s">
        <v>732</v>
      </c>
      <c r="F296" s="9" t="s">
        <v>733</v>
      </c>
      <c r="G296" s="10">
        <v>4.5</v>
      </c>
      <c r="H296" s="11">
        <v>5.6</v>
      </c>
      <c r="I296" s="8" t="s">
        <v>17</v>
      </c>
    </row>
    <row r="297" spans="1:9" ht="12.5">
      <c r="A297" s="8">
        <v>2377420</v>
      </c>
      <c r="B297" s="9" t="s">
        <v>672</v>
      </c>
      <c r="C297" s="9" t="s">
        <v>673</v>
      </c>
      <c r="D297" s="9" t="s">
        <v>734</v>
      </c>
      <c r="E297" s="9" t="s">
        <v>735</v>
      </c>
      <c r="F297" s="9" t="s">
        <v>684</v>
      </c>
      <c r="G297" s="10">
        <v>4.1399999999999997</v>
      </c>
      <c r="H297" s="11">
        <v>1.1000000000000001</v>
      </c>
      <c r="I297" s="8" t="s">
        <v>21</v>
      </c>
    </row>
    <row r="298" spans="1:9" ht="12.5">
      <c r="A298" s="8">
        <v>2412194</v>
      </c>
      <c r="B298" s="9" t="s">
        <v>672</v>
      </c>
      <c r="C298" s="9" t="s">
        <v>673</v>
      </c>
      <c r="D298" s="9" t="s">
        <v>736</v>
      </c>
      <c r="E298" s="9" t="s">
        <v>737</v>
      </c>
      <c r="F298" s="9" t="s">
        <v>738</v>
      </c>
      <c r="G298" s="10">
        <v>4.1900000000000004</v>
      </c>
      <c r="H298" s="11">
        <v>0.5</v>
      </c>
      <c r="I298" s="8" t="s">
        <v>17</v>
      </c>
    </row>
    <row r="299" spans="1:9" ht="12.5">
      <c r="A299" s="8">
        <v>2759152</v>
      </c>
      <c r="B299" s="9" t="s">
        <v>672</v>
      </c>
      <c r="C299" s="9" t="s">
        <v>673</v>
      </c>
      <c r="D299" s="9" t="s">
        <v>739</v>
      </c>
      <c r="E299" s="9" t="s">
        <v>740</v>
      </c>
      <c r="F299" s="9" t="s">
        <v>741</v>
      </c>
      <c r="G299" s="10">
        <v>4.66</v>
      </c>
      <c r="H299" s="11">
        <v>1.4</v>
      </c>
      <c r="I299" s="8" t="s">
        <v>21</v>
      </c>
    </row>
    <row r="300" spans="1:9" ht="12.5">
      <c r="A300" s="8">
        <v>2340022</v>
      </c>
      <c r="B300" s="9" t="s">
        <v>672</v>
      </c>
      <c r="C300" s="9" t="s">
        <v>681</v>
      </c>
      <c r="D300" s="9" t="s">
        <v>742</v>
      </c>
      <c r="E300" s="9" t="s">
        <v>743</v>
      </c>
      <c r="F300" s="9" t="s">
        <v>744</v>
      </c>
      <c r="G300" s="10">
        <v>4.2300000000000004</v>
      </c>
      <c r="H300" s="11">
        <v>0.6</v>
      </c>
      <c r="I300" s="8" t="s">
        <v>17</v>
      </c>
    </row>
    <row r="301" spans="1:9" ht="12.5">
      <c r="A301" s="8">
        <v>3567079</v>
      </c>
      <c r="B301" s="9" t="s">
        <v>672</v>
      </c>
      <c r="C301" s="9" t="s">
        <v>677</v>
      </c>
      <c r="D301" s="9" t="s">
        <v>745</v>
      </c>
      <c r="E301" s="9" t="s">
        <v>746</v>
      </c>
      <c r="F301" s="9" t="s">
        <v>676</v>
      </c>
      <c r="G301" s="10">
        <v>4.66</v>
      </c>
      <c r="H301" s="11">
        <v>1.2</v>
      </c>
      <c r="I301" s="8" t="s">
        <v>21</v>
      </c>
    </row>
    <row r="302" spans="1:9" ht="12.5">
      <c r="A302" s="8">
        <v>527688</v>
      </c>
      <c r="B302" s="9" t="s">
        <v>672</v>
      </c>
      <c r="C302" s="9" t="s">
        <v>677</v>
      </c>
      <c r="D302" s="9" t="s">
        <v>747</v>
      </c>
      <c r="E302" s="9" t="s">
        <v>748</v>
      </c>
      <c r="F302" s="9" t="s">
        <v>680</v>
      </c>
      <c r="G302" s="10">
        <v>4.42</v>
      </c>
      <c r="H302" s="11">
        <v>1.3</v>
      </c>
      <c r="I302" s="8" t="s">
        <v>21</v>
      </c>
    </row>
    <row r="303" spans="1:9" ht="12.5">
      <c r="A303" s="8">
        <v>1399984</v>
      </c>
      <c r="B303" s="9" t="s">
        <v>672</v>
      </c>
      <c r="C303" s="9" t="s">
        <v>681</v>
      </c>
      <c r="D303" s="9" t="s">
        <v>749</v>
      </c>
      <c r="E303" s="9" t="s">
        <v>749</v>
      </c>
      <c r="F303" s="9" t="s">
        <v>750</v>
      </c>
      <c r="G303" s="10">
        <v>3.71</v>
      </c>
      <c r="H303" s="11">
        <v>1.4</v>
      </c>
      <c r="I303" s="8" t="s">
        <v>21</v>
      </c>
    </row>
    <row r="304" spans="1:9" ht="12.5">
      <c r="A304" s="8">
        <v>2530002</v>
      </c>
      <c r="B304" s="9" t="s">
        <v>672</v>
      </c>
      <c r="C304" s="9" t="s">
        <v>673</v>
      </c>
      <c r="D304" s="9" t="s">
        <v>751</v>
      </c>
      <c r="E304" s="9" t="s">
        <v>752</v>
      </c>
      <c r="F304" s="9" t="s">
        <v>753</v>
      </c>
      <c r="G304" s="10">
        <v>4.5</v>
      </c>
      <c r="H304" s="11">
        <v>5.5</v>
      </c>
      <c r="I304" s="8" t="s">
        <v>21</v>
      </c>
    </row>
    <row r="305" spans="1:9" ht="12.5">
      <c r="A305" s="8">
        <v>2096508</v>
      </c>
      <c r="B305" s="9" t="s">
        <v>672</v>
      </c>
      <c r="C305" s="9" t="s">
        <v>677</v>
      </c>
      <c r="D305" s="9" t="s">
        <v>754</v>
      </c>
      <c r="E305" s="9" t="s">
        <v>755</v>
      </c>
      <c r="F305" s="9" t="s">
        <v>756</v>
      </c>
      <c r="G305" s="10">
        <v>4.54</v>
      </c>
      <c r="H305" s="11">
        <v>1.3</v>
      </c>
      <c r="I305" s="8" t="s">
        <v>17</v>
      </c>
    </row>
    <row r="306" spans="1:9" ht="12.5">
      <c r="A306" s="8">
        <v>2473132</v>
      </c>
      <c r="B306" s="9" t="s">
        <v>672</v>
      </c>
      <c r="C306" s="9" t="s">
        <v>681</v>
      </c>
      <c r="D306" s="9" t="s">
        <v>757</v>
      </c>
      <c r="E306" s="9" t="s">
        <v>758</v>
      </c>
      <c r="F306" s="9" t="s">
        <v>759</v>
      </c>
      <c r="G306" s="10">
        <v>3.95</v>
      </c>
      <c r="H306" s="11">
        <v>1.8</v>
      </c>
      <c r="I306" s="8" t="s">
        <v>21</v>
      </c>
    </row>
    <row r="307" spans="1:9" ht="12.5">
      <c r="A307" s="8">
        <v>927046</v>
      </c>
      <c r="B307" s="9" t="s">
        <v>672</v>
      </c>
      <c r="C307" s="9" t="s">
        <v>681</v>
      </c>
      <c r="D307" s="9" t="s">
        <v>760</v>
      </c>
      <c r="E307" s="9" t="s">
        <v>761</v>
      </c>
      <c r="F307" s="9" t="s">
        <v>692</v>
      </c>
      <c r="G307" s="10">
        <v>3.38</v>
      </c>
      <c r="H307" s="11">
        <v>1.9</v>
      </c>
      <c r="I307" s="8" t="s">
        <v>17</v>
      </c>
    </row>
    <row r="308" spans="1:9" ht="12.5">
      <c r="A308" s="8">
        <v>3627204</v>
      </c>
      <c r="B308" s="9" t="s">
        <v>672</v>
      </c>
      <c r="C308" s="9" t="s">
        <v>681</v>
      </c>
      <c r="D308" s="9" t="s">
        <v>762</v>
      </c>
      <c r="E308" s="9" t="s">
        <v>763</v>
      </c>
      <c r="F308" s="9" t="s">
        <v>764</v>
      </c>
      <c r="G308" s="10">
        <v>4.88</v>
      </c>
      <c r="H308" s="11">
        <v>1.1000000000000001</v>
      </c>
      <c r="I308" s="8" t="s">
        <v>21</v>
      </c>
    </row>
    <row r="309" spans="1:9" ht="12.5">
      <c r="A309" s="8">
        <v>3281162</v>
      </c>
      <c r="B309" s="9" t="s">
        <v>672</v>
      </c>
      <c r="C309" s="9" t="s">
        <v>695</v>
      </c>
      <c r="D309" s="9" t="s">
        <v>765</v>
      </c>
      <c r="E309" s="9" t="s">
        <v>766</v>
      </c>
      <c r="F309" s="9" t="s">
        <v>767</v>
      </c>
      <c r="G309" s="10">
        <v>4.4400000000000004</v>
      </c>
      <c r="H309" s="11">
        <v>4.2</v>
      </c>
      <c r="I309" s="8" t="s">
        <v>21</v>
      </c>
    </row>
    <row r="310" spans="1:9" ht="12.5">
      <c r="A310" s="8">
        <v>875724</v>
      </c>
      <c r="B310" s="9" t="s">
        <v>768</v>
      </c>
      <c r="C310" s="9" t="s">
        <v>769</v>
      </c>
      <c r="D310" s="9" t="s">
        <v>770</v>
      </c>
      <c r="E310" s="9" t="s">
        <v>771</v>
      </c>
      <c r="F310" s="9" t="s">
        <v>187</v>
      </c>
      <c r="G310" s="10">
        <v>4.37</v>
      </c>
      <c r="H310" s="11">
        <v>24.1</v>
      </c>
      <c r="I310" s="8" t="s">
        <v>21</v>
      </c>
    </row>
    <row r="311" spans="1:9" ht="12.5">
      <c r="A311" s="8">
        <v>1098644</v>
      </c>
      <c r="B311" s="9" t="s">
        <v>768</v>
      </c>
      <c r="C311" s="9" t="s">
        <v>772</v>
      </c>
      <c r="D311" s="9" t="s">
        <v>773</v>
      </c>
      <c r="E311" s="9" t="s">
        <v>774</v>
      </c>
      <c r="F311" s="9" t="s">
        <v>775</v>
      </c>
      <c r="G311" s="10">
        <v>4.46</v>
      </c>
      <c r="H311" s="11">
        <v>2.7</v>
      </c>
      <c r="I311" s="8" t="s">
        <v>17</v>
      </c>
    </row>
    <row r="312" spans="1:9" ht="12.5">
      <c r="A312" s="8">
        <v>2649302</v>
      </c>
      <c r="B312" s="9" t="s">
        <v>768</v>
      </c>
      <c r="C312" s="9" t="s">
        <v>776</v>
      </c>
      <c r="D312" s="9" t="s">
        <v>777</v>
      </c>
      <c r="E312" s="9" t="s">
        <v>778</v>
      </c>
      <c r="F312" s="9" t="s">
        <v>779</v>
      </c>
      <c r="G312" s="10">
        <v>4.63</v>
      </c>
      <c r="H312" s="11">
        <v>3.5</v>
      </c>
      <c r="I312" s="8" t="s">
        <v>17</v>
      </c>
    </row>
    <row r="313" spans="1:9" ht="12.5">
      <c r="A313" s="8">
        <v>2389508</v>
      </c>
      <c r="B313" s="9" t="s">
        <v>768</v>
      </c>
      <c r="C313" s="9" t="s">
        <v>776</v>
      </c>
      <c r="D313" s="9" t="s">
        <v>780</v>
      </c>
      <c r="E313" s="9" t="s">
        <v>781</v>
      </c>
      <c r="F313" s="9" t="s">
        <v>782</v>
      </c>
      <c r="G313" s="10">
        <v>4.6100000000000003</v>
      </c>
      <c r="H313" s="11">
        <v>5.0999999999999996</v>
      </c>
      <c r="I313" s="8" t="s">
        <v>17</v>
      </c>
    </row>
    <row r="314" spans="1:9" ht="12.5">
      <c r="A314" s="8">
        <v>1632258</v>
      </c>
      <c r="B314" s="9" t="s">
        <v>768</v>
      </c>
      <c r="C314" s="9" t="s">
        <v>769</v>
      </c>
      <c r="D314" s="9" t="s">
        <v>783</v>
      </c>
      <c r="E314" s="9" t="s">
        <v>784</v>
      </c>
      <c r="F314" s="9" t="s">
        <v>785</v>
      </c>
      <c r="G314" s="10">
        <v>4.42</v>
      </c>
      <c r="H314" s="11">
        <v>3.1</v>
      </c>
      <c r="I314" s="8" t="s">
        <v>21</v>
      </c>
    </row>
    <row r="315" spans="1:9" ht="12.5">
      <c r="A315" s="8">
        <v>1934170</v>
      </c>
      <c r="B315" s="9" t="s">
        <v>768</v>
      </c>
      <c r="C315" s="9" t="s">
        <v>786</v>
      </c>
      <c r="D315" s="9" t="s">
        <v>787</v>
      </c>
      <c r="E315" s="9" t="s">
        <v>788</v>
      </c>
      <c r="F315" s="9" t="s">
        <v>789</v>
      </c>
      <c r="G315" s="10">
        <v>4.25</v>
      </c>
      <c r="H315" s="11">
        <v>5.8</v>
      </c>
      <c r="I315" s="8" t="s">
        <v>21</v>
      </c>
    </row>
    <row r="316" spans="1:9" ht="12.5">
      <c r="A316" s="8">
        <v>2770754</v>
      </c>
      <c r="B316" s="9" t="s">
        <v>768</v>
      </c>
      <c r="C316" s="9" t="s">
        <v>786</v>
      </c>
      <c r="D316" s="9" t="s">
        <v>790</v>
      </c>
      <c r="E316" s="9" t="s">
        <v>791</v>
      </c>
      <c r="F316" s="9" t="s">
        <v>782</v>
      </c>
      <c r="G316" s="10">
        <v>4.62</v>
      </c>
      <c r="H316" s="11">
        <v>4.5</v>
      </c>
      <c r="I316" s="8" t="s">
        <v>17</v>
      </c>
    </row>
    <row r="317" spans="1:9" ht="12.5">
      <c r="A317" s="8">
        <v>3141506</v>
      </c>
      <c r="B317" s="9" t="s">
        <v>768</v>
      </c>
      <c r="C317" s="9" t="s">
        <v>792</v>
      </c>
      <c r="D317" s="9" t="s">
        <v>793</v>
      </c>
      <c r="E317" s="9" t="s">
        <v>794</v>
      </c>
      <c r="F317" s="9" t="s">
        <v>782</v>
      </c>
      <c r="G317" s="10">
        <v>4.6399999999999997</v>
      </c>
      <c r="H317" s="11">
        <v>2.6</v>
      </c>
      <c r="I317" s="8" t="s">
        <v>17</v>
      </c>
    </row>
    <row r="318" spans="1:9" ht="12.5">
      <c r="A318" s="8">
        <v>2824279</v>
      </c>
      <c r="B318" s="9" t="s">
        <v>768</v>
      </c>
      <c r="C318" s="9" t="s">
        <v>795</v>
      </c>
      <c r="D318" s="9" t="s">
        <v>796</v>
      </c>
      <c r="E318" s="9" t="s">
        <v>797</v>
      </c>
      <c r="F318" s="9" t="s">
        <v>798</v>
      </c>
      <c r="G318" s="10">
        <v>4.24</v>
      </c>
      <c r="H318" s="11">
        <v>2.6</v>
      </c>
      <c r="I318" s="8" t="s">
        <v>21</v>
      </c>
    </row>
    <row r="319" spans="1:9" ht="12.5">
      <c r="A319" s="8">
        <v>1323124</v>
      </c>
      <c r="B319" s="9" t="s">
        <v>768</v>
      </c>
      <c r="C319" s="9" t="s">
        <v>795</v>
      </c>
      <c r="D319" s="9" t="s">
        <v>799</v>
      </c>
      <c r="E319" s="9" t="s">
        <v>800</v>
      </c>
      <c r="F319" s="9" t="s">
        <v>801</v>
      </c>
      <c r="G319" s="10">
        <v>3.87</v>
      </c>
      <c r="H319" s="11">
        <v>1.7</v>
      </c>
      <c r="I319" s="8" t="s">
        <v>17</v>
      </c>
    </row>
    <row r="320" spans="1:9" ht="12.5">
      <c r="A320" s="8">
        <v>2129116</v>
      </c>
      <c r="B320" s="9" t="s">
        <v>768</v>
      </c>
      <c r="C320" s="9" t="s">
        <v>769</v>
      </c>
      <c r="D320" s="9" t="s">
        <v>802</v>
      </c>
      <c r="E320" s="9" t="s">
        <v>803</v>
      </c>
      <c r="F320" s="9" t="s">
        <v>804</v>
      </c>
      <c r="G320" s="10">
        <v>4.03</v>
      </c>
      <c r="H320" s="11">
        <v>0.8</v>
      </c>
      <c r="I320" s="8" t="s">
        <v>17</v>
      </c>
    </row>
    <row r="321" spans="1:9" ht="12.5">
      <c r="A321" s="8">
        <v>696466</v>
      </c>
      <c r="B321" s="9" t="s">
        <v>768</v>
      </c>
      <c r="C321" s="9" t="s">
        <v>795</v>
      </c>
      <c r="D321" s="9" t="s">
        <v>805</v>
      </c>
      <c r="E321" s="9" t="s">
        <v>806</v>
      </c>
      <c r="F321" s="9" t="s">
        <v>187</v>
      </c>
      <c r="G321" s="10">
        <v>4.38</v>
      </c>
      <c r="H321" s="11">
        <v>3.3</v>
      </c>
      <c r="I321" s="8" t="s">
        <v>21</v>
      </c>
    </row>
    <row r="322" spans="1:9" ht="12.5">
      <c r="A322" s="8">
        <v>3075024</v>
      </c>
      <c r="B322" s="9" t="s">
        <v>768</v>
      </c>
      <c r="C322" s="9" t="s">
        <v>772</v>
      </c>
      <c r="D322" s="9" t="s">
        <v>807</v>
      </c>
      <c r="E322" s="9" t="s">
        <v>808</v>
      </c>
      <c r="F322" s="9" t="s">
        <v>809</v>
      </c>
      <c r="G322" s="10">
        <v>4.3600000000000003</v>
      </c>
      <c r="H322" s="11">
        <v>4.9000000000000004</v>
      </c>
      <c r="I322" s="8" t="s">
        <v>17</v>
      </c>
    </row>
    <row r="323" spans="1:9" ht="12.5">
      <c r="A323" s="8">
        <v>1713092</v>
      </c>
      <c r="B323" s="9" t="s">
        <v>768</v>
      </c>
      <c r="C323" s="9" t="s">
        <v>769</v>
      </c>
      <c r="D323" s="9" t="s">
        <v>810</v>
      </c>
      <c r="E323" s="9" t="s">
        <v>811</v>
      </c>
      <c r="F323" s="9" t="s">
        <v>812</v>
      </c>
      <c r="G323" s="10">
        <v>4.3899999999999997</v>
      </c>
      <c r="H323" s="11">
        <v>1.8</v>
      </c>
      <c r="I323" s="8" t="s">
        <v>17</v>
      </c>
    </row>
    <row r="324" spans="1:9" ht="12.5">
      <c r="A324" s="8">
        <v>2276511</v>
      </c>
      <c r="B324" s="9" t="s">
        <v>768</v>
      </c>
      <c r="C324" s="9" t="s">
        <v>776</v>
      </c>
      <c r="D324" s="9" t="s">
        <v>813</v>
      </c>
      <c r="E324" s="9" t="s">
        <v>814</v>
      </c>
      <c r="F324" s="9" t="s">
        <v>101</v>
      </c>
      <c r="G324" s="10">
        <v>4.4800000000000004</v>
      </c>
      <c r="H324" s="11">
        <v>2</v>
      </c>
      <c r="I324" s="8" t="s">
        <v>17</v>
      </c>
    </row>
    <row r="325" spans="1:9" ht="12.5">
      <c r="A325" s="8">
        <v>2551675</v>
      </c>
      <c r="B325" s="9" t="s">
        <v>768</v>
      </c>
      <c r="C325" s="9" t="s">
        <v>792</v>
      </c>
      <c r="D325" s="9" t="s">
        <v>815</v>
      </c>
      <c r="E325" s="9" t="s">
        <v>816</v>
      </c>
      <c r="F325" s="9" t="s">
        <v>789</v>
      </c>
      <c r="G325" s="10">
        <v>3.97</v>
      </c>
      <c r="H325" s="11">
        <v>2.7</v>
      </c>
      <c r="I325" s="8" t="s">
        <v>72</v>
      </c>
    </row>
    <row r="326" spans="1:9" ht="12.5">
      <c r="A326" s="8">
        <v>1290486</v>
      </c>
      <c r="B326" s="9" t="s">
        <v>768</v>
      </c>
      <c r="C326" s="9" t="s">
        <v>795</v>
      </c>
      <c r="D326" s="9" t="s">
        <v>817</v>
      </c>
      <c r="E326" s="9" t="s">
        <v>818</v>
      </c>
      <c r="F326" s="9" t="s">
        <v>819</v>
      </c>
      <c r="G326" s="10">
        <v>4.4000000000000004</v>
      </c>
      <c r="H326" s="11">
        <v>3.6</v>
      </c>
      <c r="I326" s="8" t="s">
        <v>17</v>
      </c>
    </row>
    <row r="327" spans="1:9" ht="12.5">
      <c r="A327" s="8">
        <v>1702314</v>
      </c>
      <c r="B327" s="9" t="s">
        <v>768</v>
      </c>
      <c r="C327" s="9" t="s">
        <v>820</v>
      </c>
      <c r="D327" s="9" t="s">
        <v>821</v>
      </c>
      <c r="E327" s="9" t="s">
        <v>822</v>
      </c>
      <c r="F327" s="9" t="s">
        <v>535</v>
      </c>
      <c r="G327" s="10">
        <v>4.2300000000000004</v>
      </c>
      <c r="H327" s="11">
        <v>1.1000000000000001</v>
      </c>
      <c r="I327" s="8" t="s">
        <v>21</v>
      </c>
    </row>
    <row r="328" spans="1:9" ht="12.5">
      <c r="A328" s="8">
        <v>2405968</v>
      </c>
      <c r="B328" s="9" t="s">
        <v>768</v>
      </c>
      <c r="C328" s="9" t="s">
        <v>792</v>
      </c>
      <c r="D328" s="9" t="s">
        <v>823</v>
      </c>
      <c r="E328" s="9" t="s">
        <v>824</v>
      </c>
      <c r="F328" s="9" t="s">
        <v>809</v>
      </c>
      <c r="G328" s="10">
        <v>4.24</v>
      </c>
      <c r="H328" s="11">
        <v>6</v>
      </c>
      <c r="I328" s="8" t="s">
        <v>72</v>
      </c>
    </row>
    <row r="329" spans="1:9" ht="12.5">
      <c r="A329" s="8">
        <v>2135586</v>
      </c>
      <c r="B329" s="9" t="s">
        <v>768</v>
      </c>
      <c r="C329" s="9" t="s">
        <v>769</v>
      </c>
      <c r="D329" s="9" t="s">
        <v>825</v>
      </c>
      <c r="E329" s="9" t="s">
        <v>826</v>
      </c>
      <c r="F329" s="9" t="s">
        <v>727</v>
      </c>
      <c r="G329" s="10">
        <v>4.33</v>
      </c>
      <c r="H329" s="11">
        <v>2.2999999999999998</v>
      </c>
      <c r="I329" s="8" t="s">
        <v>17</v>
      </c>
    </row>
    <row r="330" spans="1:9" ht="12.5">
      <c r="A330" s="8">
        <v>2228866</v>
      </c>
      <c r="B330" s="9" t="s">
        <v>768</v>
      </c>
      <c r="C330" s="9" t="s">
        <v>827</v>
      </c>
      <c r="D330" s="9" t="s">
        <v>828</v>
      </c>
      <c r="E330" s="9" t="s">
        <v>829</v>
      </c>
      <c r="F330" s="9" t="s">
        <v>830</v>
      </c>
      <c r="G330" s="10">
        <v>3.44</v>
      </c>
      <c r="H330" s="11">
        <v>1</v>
      </c>
      <c r="I330" s="8" t="s">
        <v>17</v>
      </c>
    </row>
    <row r="331" spans="1:9" ht="12.5">
      <c r="A331" s="8">
        <v>2366776</v>
      </c>
      <c r="B331" s="9" t="s">
        <v>768</v>
      </c>
      <c r="C331" s="9" t="s">
        <v>772</v>
      </c>
      <c r="D331" s="9" t="s">
        <v>831</v>
      </c>
      <c r="E331" s="9" t="s">
        <v>832</v>
      </c>
      <c r="F331" s="9" t="s">
        <v>833</v>
      </c>
      <c r="G331" s="10">
        <v>4.66</v>
      </c>
      <c r="H331" s="11">
        <v>3.9</v>
      </c>
      <c r="I331" s="8" t="s">
        <v>21</v>
      </c>
    </row>
    <row r="332" spans="1:9" ht="12.5">
      <c r="A332" s="8">
        <v>2493408</v>
      </c>
      <c r="B332" s="9" t="s">
        <v>768</v>
      </c>
      <c r="C332" s="9" t="s">
        <v>769</v>
      </c>
      <c r="D332" s="9" t="s">
        <v>834</v>
      </c>
      <c r="E332" s="9" t="s">
        <v>835</v>
      </c>
      <c r="F332" s="9" t="s">
        <v>830</v>
      </c>
      <c r="G332" s="10">
        <v>3.94</v>
      </c>
      <c r="H332" s="11">
        <v>3</v>
      </c>
      <c r="I332" s="8" t="s">
        <v>17</v>
      </c>
    </row>
    <row r="333" spans="1:9" ht="12.5">
      <c r="A333" s="8">
        <v>2713640</v>
      </c>
      <c r="B333" s="9" t="s">
        <v>768</v>
      </c>
      <c r="C333" s="9" t="s">
        <v>772</v>
      </c>
      <c r="D333" s="9" t="s">
        <v>836</v>
      </c>
      <c r="E333" s="9" t="s">
        <v>837</v>
      </c>
      <c r="F333" s="9" t="s">
        <v>838</v>
      </c>
      <c r="G333" s="10">
        <v>4.47</v>
      </c>
      <c r="H333" s="11">
        <v>5.0999999999999996</v>
      </c>
      <c r="I333" s="8" t="s">
        <v>17</v>
      </c>
    </row>
    <row r="334" spans="1:9" ht="12.5">
      <c r="A334" s="8">
        <v>1436102</v>
      </c>
      <c r="B334" s="9" t="s">
        <v>768</v>
      </c>
      <c r="C334" s="9" t="s">
        <v>769</v>
      </c>
      <c r="D334" s="9" t="s">
        <v>839</v>
      </c>
      <c r="E334" s="9" t="s">
        <v>840</v>
      </c>
      <c r="F334" s="9" t="s">
        <v>841</v>
      </c>
      <c r="G334" s="10">
        <v>4.0199999999999996</v>
      </c>
      <c r="H334" s="11">
        <v>2.8</v>
      </c>
      <c r="I334" s="8" t="s">
        <v>21</v>
      </c>
    </row>
    <row r="335" spans="1:9" ht="12.5">
      <c r="A335" s="8">
        <v>1591760</v>
      </c>
      <c r="B335" s="9" t="s">
        <v>768</v>
      </c>
      <c r="C335" s="9" t="s">
        <v>795</v>
      </c>
      <c r="D335" s="9" t="s">
        <v>842</v>
      </c>
      <c r="E335" s="9" t="s">
        <v>843</v>
      </c>
      <c r="F335" s="9" t="s">
        <v>187</v>
      </c>
      <c r="G335" s="10">
        <v>4.84</v>
      </c>
      <c r="H335" s="11">
        <v>2.4</v>
      </c>
      <c r="I335" s="8" t="s">
        <v>17</v>
      </c>
    </row>
    <row r="336" spans="1:9" ht="12.5">
      <c r="A336" s="8">
        <v>2469928</v>
      </c>
      <c r="B336" s="9" t="s">
        <v>768</v>
      </c>
      <c r="C336" s="9" t="s">
        <v>772</v>
      </c>
      <c r="D336" s="9" t="s">
        <v>844</v>
      </c>
      <c r="E336" s="9" t="s">
        <v>845</v>
      </c>
      <c r="F336" s="9" t="s">
        <v>846</v>
      </c>
      <c r="G336" s="10">
        <v>4.42</v>
      </c>
      <c r="H336" s="11">
        <v>7.1</v>
      </c>
      <c r="I336" s="8" t="s">
        <v>21</v>
      </c>
    </row>
    <row r="337" spans="1:9" ht="12.5">
      <c r="A337" s="8">
        <v>3032744</v>
      </c>
      <c r="B337" s="9" t="s">
        <v>768</v>
      </c>
      <c r="C337" s="9" t="s">
        <v>769</v>
      </c>
      <c r="D337" s="9" t="s">
        <v>847</v>
      </c>
      <c r="E337" s="9" t="s">
        <v>848</v>
      </c>
      <c r="F337" s="9" t="s">
        <v>849</v>
      </c>
      <c r="G337" s="10">
        <v>4.4000000000000004</v>
      </c>
      <c r="H337" s="11">
        <v>2</v>
      </c>
      <c r="I337" s="8" t="s">
        <v>17</v>
      </c>
    </row>
    <row r="338" spans="1:9" ht="12.5">
      <c r="A338" s="8">
        <v>1511400</v>
      </c>
      <c r="B338" s="9" t="s">
        <v>768</v>
      </c>
      <c r="C338" s="9" t="s">
        <v>769</v>
      </c>
      <c r="D338" s="9" t="s">
        <v>850</v>
      </c>
      <c r="E338" s="9" t="s">
        <v>851</v>
      </c>
      <c r="F338" s="9" t="s">
        <v>158</v>
      </c>
      <c r="G338" s="10">
        <v>4.62</v>
      </c>
      <c r="H338" s="11">
        <v>2.4</v>
      </c>
      <c r="I338" s="8" t="s">
        <v>17</v>
      </c>
    </row>
    <row r="339" spans="1:9" ht="12.5">
      <c r="A339" s="8">
        <v>2741630</v>
      </c>
      <c r="B339" s="9" t="s">
        <v>768</v>
      </c>
      <c r="C339" s="9" t="s">
        <v>827</v>
      </c>
      <c r="D339" s="9" t="s">
        <v>852</v>
      </c>
      <c r="E339" s="9" t="s">
        <v>853</v>
      </c>
      <c r="F339" s="9" t="s">
        <v>854</v>
      </c>
      <c r="G339" s="10">
        <v>4.45</v>
      </c>
      <c r="H339" s="11">
        <v>2</v>
      </c>
      <c r="I339" s="8" t="s">
        <v>21</v>
      </c>
    </row>
    <row r="340" spans="1:9" ht="12.5">
      <c r="A340" s="8">
        <v>3153162</v>
      </c>
      <c r="B340" s="9" t="s">
        <v>768</v>
      </c>
      <c r="C340" s="9" t="s">
        <v>769</v>
      </c>
      <c r="D340" s="9" t="s">
        <v>855</v>
      </c>
      <c r="E340" s="9" t="s">
        <v>856</v>
      </c>
      <c r="F340" s="9" t="s">
        <v>857</v>
      </c>
      <c r="G340" s="10">
        <v>4.3600000000000003</v>
      </c>
      <c r="H340" s="11">
        <v>2</v>
      </c>
      <c r="I340" s="8" t="s">
        <v>21</v>
      </c>
    </row>
    <row r="341" spans="1:9" ht="12.5">
      <c r="A341" s="8">
        <v>3178724</v>
      </c>
      <c r="B341" s="9" t="s">
        <v>768</v>
      </c>
      <c r="C341" s="9" t="s">
        <v>769</v>
      </c>
      <c r="D341" s="9" t="s">
        <v>858</v>
      </c>
      <c r="E341" s="9" t="s">
        <v>859</v>
      </c>
      <c r="F341" s="9" t="s">
        <v>860</v>
      </c>
      <c r="G341" s="10">
        <v>4.66</v>
      </c>
      <c r="H341" s="11">
        <v>1.4</v>
      </c>
      <c r="I341" s="8" t="s">
        <v>21</v>
      </c>
    </row>
    <row r="342" spans="1:9" ht="12.5">
      <c r="A342" s="8">
        <v>3359212</v>
      </c>
      <c r="B342" s="9" t="s">
        <v>768</v>
      </c>
      <c r="C342" s="9" t="s">
        <v>769</v>
      </c>
      <c r="D342" s="9" t="s">
        <v>861</v>
      </c>
      <c r="E342" s="9" t="s">
        <v>862</v>
      </c>
      <c r="F342" s="9" t="s">
        <v>863</v>
      </c>
      <c r="G342" s="10">
        <v>4.8</v>
      </c>
      <c r="H342" s="11">
        <v>4.2</v>
      </c>
      <c r="I342" s="8" t="s">
        <v>17</v>
      </c>
    </row>
    <row r="343" spans="1:9" ht="12.5">
      <c r="A343" s="8">
        <v>1184692</v>
      </c>
      <c r="B343" s="9" t="s">
        <v>864</v>
      </c>
      <c r="C343" s="9" t="s">
        <v>865</v>
      </c>
      <c r="D343" s="9" t="s">
        <v>866</v>
      </c>
      <c r="E343" s="9" t="s">
        <v>867</v>
      </c>
      <c r="F343" s="9" t="s">
        <v>153</v>
      </c>
      <c r="G343" s="10">
        <v>4.47</v>
      </c>
      <c r="H343" s="11">
        <v>5.4</v>
      </c>
      <c r="I343" s="8" t="s">
        <v>17</v>
      </c>
    </row>
    <row r="344" spans="1:9" ht="12.5">
      <c r="A344" s="8">
        <v>2025986</v>
      </c>
      <c r="B344" s="9" t="s">
        <v>864</v>
      </c>
      <c r="C344" s="9" t="s">
        <v>865</v>
      </c>
      <c r="D344" s="9" t="s">
        <v>868</v>
      </c>
      <c r="E344" s="9" t="s">
        <v>869</v>
      </c>
      <c r="F344" s="9" t="s">
        <v>153</v>
      </c>
      <c r="G344" s="10">
        <v>4.4800000000000004</v>
      </c>
      <c r="H344" s="11">
        <v>8.6</v>
      </c>
      <c r="I344" s="8" t="s">
        <v>17</v>
      </c>
    </row>
    <row r="345" spans="1:9" ht="12.5">
      <c r="A345" s="8">
        <v>1526522</v>
      </c>
      <c r="B345" s="9" t="s">
        <v>864</v>
      </c>
      <c r="C345" s="9" t="s">
        <v>865</v>
      </c>
      <c r="D345" s="9" t="s">
        <v>870</v>
      </c>
      <c r="E345" s="9" t="s">
        <v>870</v>
      </c>
      <c r="F345" s="9" t="s">
        <v>871</v>
      </c>
      <c r="G345" s="10">
        <v>4.63</v>
      </c>
      <c r="H345" s="11">
        <v>36.4</v>
      </c>
      <c r="I345" s="8" t="s">
        <v>21</v>
      </c>
    </row>
    <row r="346" spans="1:9" ht="12.5">
      <c r="A346" s="8">
        <v>2289739</v>
      </c>
      <c r="B346" s="9" t="s">
        <v>864</v>
      </c>
      <c r="C346" s="9" t="s">
        <v>865</v>
      </c>
      <c r="D346" s="9" t="s">
        <v>872</v>
      </c>
      <c r="E346" s="9" t="s">
        <v>873</v>
      </c>
      <c r="F346" s="9" t="s">
        <v>874</v>
      </c>
      <c r="G346" s="10">
        <v>4.71</v>
      </c>
      <c r="H346" s="11">
        <v>0.8</v>
      </c>
      <c r="I346" s="8" t="s">
        <v>17</v>
      </c>
    </row>
    <row r="347" spans="1:9" ht="12.5">
      <c r="A347" s="8">
        <v>2396646</v>
      </c>
      <c r="B347" s="9" t="s">
        <v>864</v>
      </c>
      <c r="C347" s="9" t="s">
        <v>875</v>
      </c>
      <c r="D347" s="9" t="s">
        <v>876</v>
      </c>
      <c r="E347" s="9" t="s">
        <v>877</v>
      </c>
      <c r="F347" s="9" t="s">
        <v>153</v>
      </c>
      <c r="G347" s="10">
        <v>4.68</v>
      </c>
      <c r="H347" s="11">
        <v>7.5</v>
      </c>
      <c r="I347" s="8" t="s">
        <v>17</v>
      </c>
    </row>
    <row r="348" spans="1:9" ht="12.5">
      <c r="A348" s="8">
        <v>1885664</v>
      </c>
      <c r="B348" s="9" t="s">
        <v>864</v>
      </c>
      <c r="C348" s="9" t="s">
        <v>875</v>
      </c>
      <c r="D348" s="9" t="s">
        <v>878</v>
      </c>
      <c r="E348" s="9" t="s">
        <v>879</v>
      </c>
      <c r="F348" s="9" t="s">
        <v>767</v>
      </c>
      <c r="G348" s="10">
        <v>4.66</v>
      </c>
      <c r="H348" s="11">
        <v>4.0999999999999996</v>
      </c>
      <c r="I348" s="8" t="s">
        <v>21</v>
      </c>
    </row>
    <row r="349" spans="1:9" ht="12.5">
      <c r="A349" s="8">
        <v>2771696</v>
      </c>
      <c r="B349" s="9" t="s">
        <v>864</v>
      </c>
      <c r="C349" s="9" t="s">
        <v>865</v>
      </c>
      <c r="D349" s="9" t="s">
        <v>880</v>
      </c>
      <c r="E349" s="9" t="s">
        <v>880</v>
      </c>
      <c r="F349" s="9" t="s">
        <v>40</v>
      </c>
      <c r="G349" s="10">
        <v>4.87</v>
      </c>
      <c r="H349" s="11">
        <v>6.5</v>
      </c>
      <c r="I349" s="8" t="s">
        <v>72</v>
      </c>
    </row>
    <row r="350" spans="1:9" ht="12.5">
      <c r="A350" s="8">
        <v>2740396</v>
      </c>
      <c r="B350" s="9" t="s">
        <v>864</v>
      </c>
      <c r="C350" s="9" t="s">
        <v>881</v>
      </c>
      <c r="D350" s="9" t="s">
        <v>882</v>
      </c>
      <c r="E350" s="9" t="s">
        <v>883</v>
      </c>
      <c r="F350" s="9" t="s">
        <v>437</v>
      </c>
      <c r="G350" s="10">
        <v>4.34</v>
      </c>
      <c r="H350" s="11">
        <v>11.4</v>
      </c>
      <c r="I350" s="8" t="s">
        <v>17</v>
      </c>
    </row>
    <row r="351" spans="1:9" ht="12.5">
      <c r="A351" s="8">
        <v>1690474</v>
      </c>
      <c r="B351" s="9" t="s">
        <v>864</v>
      </c>
      <c r="C351" s="9" t="s">
        <v>881</v>
      </c>
      <c r="D351" s="9" t="s">
        <v>884</v>
      </c>
      <c r="E351" s="9" t="s">
        <v>885</v>
      </c>
      <c r="F351" s="9" t="s">
        <v>886</v>
      </c>
      <c r="G351" s="10">
        <v>4.7</v>
      </c>
      <c r="H351" s="11">
        <v>2.2000000000000002</v>
      </c>
      <c r="I351" s="8" t="s">
        <v>21</v>
      </c>
    </row>
    <row r="352" spans="1:9" ht="12.5">
      <c r="A352" s="8">
        <v>1879082</v>
      </c>
      <c r="B352" s="9" t="s">
        <v>864</v>
      </c>
      <c r="C352" s="9" t="s">
        <v>865</v>
      </c>
      <c r="D352" s="9" t="s">
        <v>887</v>
      </c>
      <c r="E352" s="9" t="s">
        <v>888</v>
      </c>
      <c r="F352" s="9" t="s">
        <v>889</v>
      </c>
      <c r="G352" s="10">
        <v>4.6500000000000004</v>
      </c>
      <c r="H352" s="11">
        <v>3</v>
      </c>
      <c r="I352" s="8" t="s">
        <v>21</v>
      </c>
    </row>
    <row r="353" spans="1:9" ht="12.5">
      <c r="A353" s="8">
        <v>498982</v>
      </c>
      <c r="B353" s="9" t="s">
        <v>864</v>
      </c>
      <c r="C353" s="9" t="s">
        <v>875</v>
      </c>
      <c r="D353" s="9" t="s">
        <v>890</v>
      </c>
      <c r="E353" s="9" t="s">
        <v>891</v>
      </c>
      <c r="F353" s="9" t="s">
        <v>680</v>
      </c>
      <c r="G353" s="10">
        <v>4.34</v>
      </c>
      <c r="H353" s="11">
        <v>1.2</v>
      </c>
      <c r="I353" s="8" t="s">
        <v>21</v>
      </c>
    </row>
    <row r="354" spans="1:9" ht="12.5">
      <c r="A354" s="8">
        <v>2328250</v>
      </c>
      <c r="B354" s="9" t="s">
        <v>864</v>
      </c>
      <c r="C354" s="9" t="s">
        <v>865</v>
      </c>
      <c r="D354" s="9" t="s">
        <v>892</v>
      </c>
      <c r="E354" s="9" t="s">
        <v>893</v>
      </c>
      <c r="F354" s="9" t="s">
        <v>886</v>
      </c>
      <c r="G354" s="10">
        <v>4.3499999999999996</v>
      </c>
      <c r="H354" s="11">
        <v>3.7</v>
      </c>
      <c r="I354" s="8" t="s">
        <v>17</v>
      </c>
    </row>
    <row r="355" spans="1:9" ht="12.5">
      <c r="A355" s="8">
        <v>2576978</v>
      </c>
      <c r="B355" s="9" t="s">
        <v>864</v>
      </c>
      <c r="C355" s="9" t="s">
        <v>865</v>
      </c>
      <c r="D355" s="9" t="s">
        <v>894</v>
      </c>
      <c r="E355" s="9" t="s">
        <v>895</v>
      </c>
      <c r="F355" s="9" t="s">
        <v>896</v>
      </c>
      <c r="G355" s="10">
        <v>4.58</v>
      </c>
      <c r="H355" s="11">
        <v>5.0999999999999996</v>
      </c>
      <c r="I355" s="8" t="s">
        <v>21</v>
      </c>
    </row>
    <row r="356" spans="1:9" ht="12.5">
      <c r="A356" s="8">
        <v>2438418</v>
      </c>
      <c r="B356" s="9" t="s">
        <v>864</v>
      </c>
      <c r="C356" s="9" t="s">
        <v>865</v>
      </c>
      <c r="D356" s="9" t="s">
        <v>897</v>
      </c>
      <c r="E356" s="9" t="s">
        <v>898</v>
      </c>
      <c r="F356" s="9" t="s">
        <v>886</v>
      </c>
      <c r="G356" s="10">
        <v>4.3899999999999997</v>
      </c>
      <c r="H356" s="11">
        <v>2.9</v>
      </c>
      <c r="I356" s="8" t="s">
        <v>72</v>
      </c>
    </row>
    <row r="357" spans="1:9" ht="12.5">
      <c r="A357" s="8">
        <v>2432564</v>
      </c>
      <c r="B357" s="9" t="s">
        <v>864</v>
      </c>
      <c r="C357" s="9" t="s">
        <v>899</v>
      </c>
      <c r="D357" s="9" t="s">
        <v>900</v>
      </c>
      <c r="E357" s="9" t="s">
        <v>901</v>
      </c>
      <c r="F357" s="9" t="s">
        <v>902</v>
      </c>
      <c r="G357" s="10">
        <v>4.05</v>
      </c>
      <c r="H357" s="11">
        <v>2.6</v>
      </c>
      <c r="I357" s="8" t="s">
        <v>17</v>
      </c>
    </row>
    <row r="358" spans="1:9" ht="12.5">
      <c r="A358" s="8">
        <v>1599770</v>
      </c>
      <c r="B358" s="9" t="s">
        <v>864</v>
      </c>
      <c r="C358" s="9" t="s">
        <v>865</v>
      </c>
      <c r="D358" s="9" t="s">
        <v>903</v>
      </c>
      <c r="E358" s="9" t="s">
        <v>904</v>
      </c>
      <c r="F358" s="9" t="s">
        <v>871</v>
      </c>
      <c r="G358" s="10">
        <v>4.87</v>
      </c>
      <c r="H358" s="11">
        <v>2.4</v>
      </c>
      <c r="I358" s="8" t="s">
        <v>72</v>
      </c>
    </row>
    <row r="359" spans="1:9" ht="12.5">
      <c r="A359" s="8">
        <v>1828750</v>
      </c>
      <c r="B359" s="9" t="s">
        <v>864</v>
      </c>
      <c r="C359" s="9" t="s">
        <v>905</v>
      </c>
      <c r="D359" s="9" t="s">
        <v>906</v>
      </c>
      <c r="E359" s="9" t="s">
        <v>907</v>
      </c>
      <c r="F359" s="9" t="s">
        <v>886</v>
      </c>
      <c r="G359" s="10">
        <v>4.55</v>
      </c>
      <c r="H359" s="11">
        <v>2.8</v>
      </c>
      <c r="I359" s="8" t="s">
        <v>72</v>
      </c>
    </row>
    <row r="360" spans="1:9" ht="12.5">
      <c r="A360" s="8">
        <v>3154704</v>
      </c>
      <c r="B360" s="9" t="s">
        <v>864</v>
      </c>
      <c r="C360" s="9" t="s">
        <v>865</v>
      </c>
      <c r="D360" s="9" t="s">
        <v>908</v>
      </c>
      <c r="E360" s="9" t="s">
        <v>909</v>
      </c>
      <c r="F360" s="9" t="s">
        <v>910</v>
      </c>
      <c r="G360" s="10">
        <v>4.8</v>
      </c>
      <c r="H360" s="11">
        <v>1.2</v>
      </c>
      <c r="I360" s="8" t="s">
        <v>17</v>
      </c>
    </row>
    <row r="361" spans="1:9" ht="12.5">
      <c r="A361" s="8">
        <v>3612080</v>
      </c>
      <c r="B361" s="9" t="s">
        <v>864</v>
      </c>
      <c r="C361" s="9" t="s">
        <v>875</v>
      </c>
      <c r="D361" s="9" t="s">
        <v>911</v>
      </c>
      <c r="E361" s="9" t="s">
        <v>912</v>
      </c>
      <c r="F361" s="9" t="s">
        <v>680</v>
      </c>
      <c r="G361" s="10">
        <v>4.55</v>
      </c>
      <c r="H361" s="11">
        <v>0.9</v>
      </c>
      <c r="I361" s="8" t="s">
        <v>21</v>
      </c>
    </row>
    <row r="362" spans="1:9" ht="12.5">
      <c r="A362" s="8">
        <v>1273150</v>
      </c>
      <c r="B362" s="9" t="s">
        <v>913</v>
      </c>
      <c r="C362" s="9" t="s">
        <v>914</v>
      </c>
      <c r="D362" s="9" t="s">
        <v>915</v>
      </c>
      <c r="E362" s="9" t="s">
        <v>915</v>
      </c>
      <c r="F362" s="9" t="s">
        <v>916</v>
      </c>
      <c r="G362" s="10">
        <v>4.38</v>
      </c>
      <c r="H362" s="11">
        <v>3.8</v>
      </c>
      <c r="I362" s="8" t="s">
        <v>17</v>
      </c>
    </row>
    <row r="363" spans="1:9" ht="12.5">
      <c r="A363" s="8">
        <v>2614836</v>
      </c>
      <c r="B363" s="9" t="s">
        <v>913</v>
      </c>
      <c r="C363" s="9" t="s">
        <v>914</v>
      </c>
      <c r="D363" s="9" t="s">
        <v>917</v>
      </c>
      <c r="E363" s="9" t="s">
        <v>918</v>
      </c>
      <c r="F363" s="9" t="s">
        <v>919</v>
      </c>
      <c r="G363" s="10">
        <v>4.17</v>
      </c>
      <c r="H363" s="11">
        <v>2.2999999999999998</v>
      </c>
      <c r="I363" s="8" t="s">
        <v>21</v>
      </c>
    </row>
    <row r="364" spans="1:9" ht="12.5">
      <c r="A364" s="8">
        <v>1853720</v>
      </c>
      <c r="B364" s="9" t="s">
        <v>913</v>
      </c>
      <c r="C364" s="9" t="s">
        <v>920</v>
      </c>
      <c r="D364" s="9" t="s">
        <v>921</v>
      </c>
      <c r="E364" s="9" t="s">
        <v>922</v>
      </c>
      <c r="F364" s="9" t="s">
        <v>684</v>
      </c>
      <c r="G364" s="10">
        <v>4.57</v>
      </c>
      <c r="H364" s="11">
        <v>1.7</v>
      </c>
      <c r="I364" s="8" t="s">
        <v>21</v>
      </c>
    </row>
    <row r="365" spans="1:9" ht="12.5">
      <c r="A365" s="8">
        <v>898940</v>
      </c>
      <c r="B365" s="9" t="s">
        <v>913</v>
      </c>
      <c r="C365" s="9" t="s">
        <v>914</v>
      </c>
      <c r="D365" s="9" t="s">
        <v>923</v>
      </c>
      <c r="E365" s="9" t="s">
        <v>924</v>
      </c>
      <c r="F365" s="9" t="s">
        <v>925</v>
      </c>
      <c r="G365" s="10">
        <v>4.66</v>
      </c>
      <c r="H365" s="11">
        <v>1.4</v>
      </c>
      <c r="I365" s="8" t="s">
        <v>17</v>
      </c>
    </row>
    <row r="366" spans="1:9" ht="12.5">
      <c r="A366" s="8">
        <v>1745944</v>
      </c>
      <c r="B366" s="9" t="s">
        <v>913</v>
      </c>
      <c r="C366" s="9" t="s">
        <v>920</v>
      </c>
      <c r="D366" s="9" t="s">
        <v>926</v>
      </c>
      <c r="E366" s="9" t="s">
        <v>927</v>
      </c>
      <c r="F366" s="9" t="s">
        <v>928</v>
      </c>
      <c r="G366" s="10">
        <v>4.1500000000000004</v>
      </c>
      <c r="H366" s="11">
        <v>2.6</v>
      </c>
      <c r="I366" s="8" t="s">
        <v>21</v>
      </c>
    </row>
    <row r="367" spans="1:9" ht="12.5">
      <c r="A367" s="8">
        <v>1659158</v>
      </c>
      <c r="B367" s="9" t="s">
        <v>913</v>
      </c>
      <c r="C367" s="9" t="s">
        <v>920</v>
      </c>
      <c r="D367" s="9" t="s">
        <v>929</v>
      </c>
      <c r="E367" s="9" t="s">
        <v>930</v>
      </c>
      <c r="F367" s="9" t="s">
        <v>684</v>
      </c>
      <c r="G367" s="10">
        <v>4.46</v>
      </c>
      <c r="H367" s="11">
        <v>2.4</v>
      </c>
      <c r="I367" s="8" t="s">
        <v>21</v>
      </c>
    </row>
    <row r="368" spans="1:9" ht="12.5">
      <c r="A368" s="8">
        <v>187886</v>
      </c>
      <c r="B368" s="9" t="s">
        <v>913</v>
      </c>
      <c r="C368" s="9" t="s">
        <v>914</v>
      </c>
      <c r="D368" s="9" t="s">
        <v>931</v>
      </c>
      <c r="E368" s="9" t="s">
        <v>932</v>
      </c>
      <c r="F368" s="9" t="s">
        <v>919</v>
      </c>
      <c r="G368" s="10">
        <v>4.55</v>
      </c>
      <c r="H368" s="11">
        <v>3.4</v>
      </c>
      <c r="I368" s="8" t="s">
        <v>21</v>
      </c>
    </row>
    <row r="369" spans="1:9" ht="12.5">
      <c r="A369" s="8">
        <v>1689228</v>
      </c>
      <c r="B369" s="9" t="s">
        <v>913</v>
      </c>
      <c r="C369" s="9" t="s">
        <v>920</v>
      </c>
      <c r="D369" s="9" t="s">
        <v>933</v>
      </c>
      <c r="E369" s="9" t="s">
        <v>934</v>
      </c>
      <c r="F369" s="9" t="s">
        <v>753</v>
      </c>
      <c r="G369" s="10">
        <v>4.74</v>
      </c>
      <c r="H369" s="11">
        <v>17.8</v>
      </c>
      <c r="I369" s="8" t="s">
        <v>17</v>
      </c>
    </row>
    <row r="370" spans="1:9" ht="12.5">
      <c r="A370" s="8">
        <v>1882616</v>
      </c>
      <c r="B370" s="9" t="s">
        <v>913</v>
      </c>
      <c r="C370" s="9" t="s">
        <v>935</v>
      </c>
      <c r="D370" s="9" t="s">
        <v>936</v>
      </c>
      <c r="E370" s="9" t="s">
        <v>937</v>
      </c>
      <c r="F370" s="9" t="s">
        <v>684</v>
      </c>
      <c r="G370" s="10">
        <v>4.2</v>
      </c>
      <c r="H370" s="11">
        <v>1.5</v>
      </c>
      <c r="I370" s="8" t="s">
        <v>21</v>
      </c>
    </row>
    <row r="371" spans="1:9" ht="12.5">
      <c r="A371" s="8">
        <v>2796590</v>
      </c>
      <c r="B371" s="9" t="s">
        <v>913</v>
      </c>
      <c r="C371" s="9" t="s">
        <v>914</v>
      </c>
      <c r="D371" s="9" t="s">
        <v>938</v>
      </c>
      <c r="E371" s="9" t="s">
        <v>939</v>
      </c>
      <c r="F371" s="9" t="s">
        <v>940</v>
      </c>
      <c r="G371" s="10">
        <v>4.4000000000000004</v>
      </c>
      <c r="H371" s="11">
        <v>2.1</v>
      </c>
      <c r="I371" s="8" t="s">
        <v>21</v>
      </c>
    </row>
    <row r="372" spans="1:9" ht="12.5">
      <c r="A372" s="8">
        <v>2444576</v>
      </c>
      <c r="B372" s="9" t="s">
        <v>913</v>
      </c>
      <c r="C372" s="9" t="s">
        <v>920</v>
      </c>
      <c r="D372" s="9" t="s">
        <v>941</v>
      </c>
      <c r="E372" s="9" t="s">
        <v>942</v>
      </c>
      <c r="F372" s="9" t="s">
        <v>943</v>
      </c>
      <c r="G372" s="10">
        <v>4.1399999999999997</v>
      </c>
      <c r="H372" s="11">
        <v>1.9</v>
      </c>
      <c r="I372" s="8" t="s">
        <v>21</v>
      </c>
    </row>
    <row r="373" spans="1:9" ht="12.5">
      <c r="A373" s="8">
        <v>941978</v>
      </c>
      <c r="B373" s="9" t="s">
        <v>913</v>
      </c>
      <c r="C373" s="9" t="s">
        <v>920</v>
      </c>
      <c r="D373" s="9" t="s">
        <v>944</v>
      </c>
      <c r="E373" s="9" t="s">
        <v>945</v>
      </c>
      <c r="F373" s="9" t="s">
        <v>692</v>
      </c>
      <c r="G373" s="10">
        <v>4.46</v>
      </c>
      <c r="H373" s="11">
        <v>3.5</v>
      </c>
      <c r="I373" s="8" t="s">
        <v>17</v>
      </c>
    </row>
    <row r="374" spans="1:9" ht="12.5">
      <c r="A374" s="8">
        <v>1016706</v>
      </c>
      <c r="B374" s="9" t="s">
        <v>913</v>
      </c>
      <c r="C374" s="9" t="s">
        <v>946</v>
      </c>
      <c r="D374" s="9" t="s">
        <v>947</v>
      </c>
      <c r="E374" s="9" t="s">
        <v>948</v>
      </c>
      <c r="F374" s="9" t="s">
        <v>949</v>
      </c>
      <c r="G374" s="10">
        <v>4.2699999999999996</v>
      </c>
      <c r="H374" s="11">
        <v>24.3</v>
      </c>
      <c r="I374" s="8" t="s">
        <v>21</v>
      </c>
    </row>
    <row r="375" spans="1:9" ht="12.5">
      <c r="A375" s="8">
        <v>2860272</v>
      </c>
      <c r="B375" s="9" t="s">
        <v>913</v>
      </c>
      <c r="C375" s="9" t="s">
        <v>946</v>
      </c>
      <c r="D375" s="9" t="s">
        <v>950</v>
      </c>
      <c r="E375" s="9" t="s">
        <v>951</v>
      </c>
      <c r="F375" s="9" t="s">
        <v>952</v>
      </c>
      <c r="G375" s="10">
        <v>4.62</v>
      </c>
      <c r="H375" s="11">
        <v>6.7</v>
      </c>
      <c r="I375" s="8" t="s">
        <v>17</v>
      </c>
    </row>
    <row r="376" spans="1:9" ht="12.5">
      <c r="A376" s="8">
        <v>1977972</v>
      </c>
      <c r="B376" s="9" t="s">
        <v>913</v>
      </c>
      <c r="C376" s="9" t="s">
        <v>914</v>
      </c>
      <c r="D376" s="9" t="s">
        <v>953</v>
      </c>
      <c r="E376" s="9" t="s">
        <v>954</v>
      </c>
      <c r="F376" s="9" t="s">
        <v>955</v>
      </c>
      <c r="G376" s="10">
        <v>4.28</v>
      </c>
      <c r="H376" s="11">
        <v>14.5</v>
      </c>
      <c r="I376" s="8" t="s">
        <v>21</v>
      </c>
    </row>
    <row r="377" spans="1:9" ht="12.5">
      <c r="A377" s="8">
        <v>927210</v>
      </c>
      <c r="B377" s="9" t="s">
        <v>913</v>
      </c>
      <c r="C377" s="9" t="s">
        <v>956</v>
      </c>
      <c r="D377" s="9" t="s">
        <v>957</v>
      </c>
      <c r="E377" s="9" t="s">
        <v>958</v>
      </c>
      <c r="F377" s="9" t="s">
        <v>692</v>
      </c>
      <c r="G377" s="10">
        <v>4.6399999999999997</v>
      </c>
      <c r="H377" s="11">
        <v>1.3</v>
      </c>
      <c r="I377" s="8" t="s">
        <v>17</v>
      </c>
    </row>
    <row r="378" spans="1:9" ht="12.5">
      <c r="A378" s="8">
        <v>2334698</v>
      </c>
      <c r="B378" s="9" t="s">
        <v>913</v>
      </c>
      <c r="C378" s="9" t="s">
        <v>920</v>
      </c>
      <c r="D378" s="9" t="s">
        <v>959</v>
      </c>
      <c r="E378" s="9" t="s">
        <v>960</v>
      </c>
      <c r="F378" s="9" t="s">
        <v>753</v>
      </c>
      <c r="G378" s="10">
        <v>4.68</v>
      </c>
      <c r="H378" s="11">
        <v>5.6</v>
      </c>
      <c r="I378" s="8" t="s">
        <v>21</v>
      </c>
    </row>
    <row r="379" spans="1:9" ht="12.5">
      <c r="A379" s="8">
        <v>924116</v>
      </c>
      <c r="B379" s="9" t="s">
        <v>913</v>
      </c>
      <c r="C379" s="9" t="s">
        <v>935</v>
      </c>
      <c r="D379" s="9" t="s">
        <v>961</v>
      </c>
      <c r="E379" s="9" t="s">
        <v>962</v>
      </c>
      <c r="F379" s="9" t="s">
        <v>692</v>
      </c>
      <c r="G379" s="10">
        <v>4.4000000000000004</v>
      </c>
      <c r="H379" s="11">
        <v>2.9</v>
      </c>
      <c r="I379" s="8" t="s">
        <v>17</v>
      </c>
    </row>
    <row r="380" spans="1:9" ht="12.5">
      <c r="A380" s="8">
        <v>2449224</v>
      </c>
      <c r="B380" s="9" t="s">
        <v>913</v>
      </c>
      <c r="C380" s="9" t="s">
        <v>920</v>
      </c>
      <c r="D380" s="9" t="s">
        <v>963</v>
      </c>
      <c r="E380" s="9" t="s">
        <v>964</v>
      </c>
      <c r="F380" s="9" t="s">
        <v>684</v>
      </c>
      <c r="G380" s="10">
        <v>4.58</v>
      </c>
      <c r="H380" s="11">
        <v>1.7</v>
      </c>
      <c r="I380" s="8" t="s">
        <v>21</v>
      </c>
    </row>
    <row r="381" spans="1:9" ht="12.5">
      <c r="A381" s="8">
        <v>2587198</v>
      </c>
      <c r="B381" s="9" t="s">
        <v>913</v>
      </c>
      <c r="C381" s="9" t="s">
        <v>935</v>
      </c>
      <c r="D381" s="9" t="s">
        <v>965</v>
      </c>
      <c r="E381" s="9" t="s">
        <v>966</v>
      </c>
      <c r="F381" s="9" t="s">
        <v>684</v>
      </c>
      <c r="G381" s="10">
        <v>4.51</v>
      </c>
      <c r="H381" s="11">
        <v>1.5</v>
      </c>
      <c r="I381" s="8" t="s">
        <v>17</v>
      </c>
    </row>
    <row r="382" spans="1:9" ht="12.5">
      <c r="A382" s="8">
        <v>89708</v>
      </c>
      <c r="B382" s="9" t="s">
        <v>913</v>
      </c>
      <c r="C382" s="9" t="s">
        <v>935</v>
      </c>
      <c r="D382" s="9" t="s">
        <v>967</v>
      </c>
      <c r="E382" s="9" t="s">
        <v>968</v>
      </c>
      <c r="F382" s="9" t="s">
        <v>969</v>
      </c>
      <c r="G382" s="10">
        <v>4.72</v>
      </c>
      <c r="H382" s="11">
        <v>2.5</v>
      </c>
      <c r="I382" s="8" t="s">
        <v>21</v>
      </c>
    </row>
    <row r="383" spans="1:9" ht="12.5">
      <c r="A383" s="8">
        <v>286370</v>
      </c>
      <c r="B383" s="9" t="s">
        <v>913</v>
      </c>
      <c r="C383" s="9" t="s">
        <v>970</v>
      </c>
      <c r="D383" s="9" t="s">
        <v>971</v>
      </c>
      <c r="E383" s="9" t="s">
        <v>972</v>
      </c>
      <c r="F383" s="9" t="s">
        <v>973</v>
      </c>
      <c r="G383" s="10">
        <v>4.71</v>
      </c>
      <c r="H383" s="11">
        <v>5.4</v>
      </c>
      <c r="I383" s="8" t="s">
        <v>21</v>
      </c>
    </row>
    <row r="384" spans="1:9" ht="12.5">
      <c r="A384" s="8">
        <v>1105812</v>
      </c>
      <c r="B384" s="9" t="s">
        <v>913</v>
      </c>
      <c r="C384" s="9" t="s">
        <v>920</v>
      </c>
      <c r="D384" s="9" t="s">
        <v>974</v>
      </c>
      <c r="E384" s="9" t="s">
        <v>975</v>
      </c>
      <c r="F384" s="9" t="s">
        <v>692</v>
      </c>
      <c r="G384" s="10">
        <v>4.33</v>
      </c>
      <c r="H384" s="11">
        <v>1.7</v>
      </c>
      <c r="I384" s="8" t="s">
        <v>17</v>
      </c>
    </row>
    <row r="385" spans="1:9" ht="12.5">
      <c r="A385" s="8">
        <v>929570</v>
      </c>
      <c r="B385" s="9" t="s">
        <v>913</v>
      </c>
      <c r="C385" s="9" t="s">
        <v>920</v>
      </c>
      <c r="D385" s="9" t="s">
        <v>976</v>
      </c>
      <c r="E385" s="9" t="s">
        <v>977</v>
      </c>
      <c r="F385" s="9" t="s">
        <v>692</v>
      </c>
      <c r="G385" s="10">
        <v>4.49</v>
      </c>
      <c r="H385" s="11">
        <v>0.7</v>
      </c>
      <c r="I385" s="8" t="s">
        <v>17</v>
      </c>
    </row>
    <row r="386" spans="1:9" ht="12.5">
      <c r="A386" s="8">
        <v>2031410</v>
      </c>
      <c r="B386" s="9" t="s">
        <v>913</v>
      </c>
      <c r="C386" s="9" t="s">
        <v>920</v>
      </c>
      <c r="D386" s="9" t="s">
        <v>978</v>
      </c>
      <c r="E386" s="9" t="s">
        <v>979</v>
      </c>
      <c r="F386" s="9" t="s">
        <v>980</v>
      </c>
      <c r="G386" s="10">
        <v>4.62</v>
      </c>
      <c r="H386" s="11">
        <v>2.4</v>
      </c>
      <c r="I386" s="8" t="s">
        <v>17</v>
      </c>
    </row>
    <row r="387" spans="1:9" ht="12.5">
      <c r="A387" s="8">
        <v>2511024</v>
      </c>
      <c r="B387" s="9" t="s">
        <v>913</v>
      </c>
      <c r="C387" s="9" t="s">
        <v>920</v>
      </c>
      <c r="D387" s="9" t="s">
        <v>981</v>
      </c>
      <c r="E387" s="9" t="s">
        <v>982</v>
      </c>
      <c r="F387" s="9" t="s">
        <v>980</v>
      </c>
      <c r="G387" s="10">
        <v>4.8</v>
      </c>
      <c r="H387" s="11">
        <v>2.6</v>
      </c>
      <c r="I387" s="8" t="s">
        <v>17</v>
      </c>
    </row>
    <row r="388" spans="1:9" ht="12.5">
      <c r="A388" s="8">
        <v>1898032</v>
      </c>
      <c r="B388" s="9" t="s">
        <v>913</v>
      </c>
      <c r="C388" s="9" t="s">
        <v>970</v>
      </c>
      <c r="D388" s="9" t="s">
        <v>983</v>
      </c>
      <c r="E388" s="9" t="s">
        <v>984</v>
      </c>
      <c r="F388" s="9" t="s">
        <v>224</v>
      </c>
      <c r="G388" s="10">
        <v>4.5199999999999996</v>
      </c>
      <c r="H388" s="11">
        <v>10.5</v>
      </c>
      <c r="I388" s="8" t="s">
        <v>21</v>
      </c>
    </row>
    <row r="389" spans="1:9" ht="12.5">
      <c r="A389" s="8">
        <v>181470</v>
      </c>
      <c r="B389" s="9" t="s">
        <v>913</v>
      </c>
      <c r="C389" s="9" t="s">
        <v>914</v>
      </c>
      <c r="D389" s="9" t="s">
        <v>985</v>
      </c>
      <c r="E389" s="9" t="s">
        <v>986</v>
      </c>
      <c r="F389" s="9" t="s">
        <v>919</v>
      </c>
      <c r="G389" s="10">
        <v>4.17</v>
      </c>
      <c r="H389" s="11">
        <v>1</v>
      </c>
      <c r="I389" s="8" t="s">
        <v>21</v>
      </c>
    </row>
    <row r="390" spans="1:9" ht="12.5">
      <c r="A390" s="8">
        <v>1329558</v>
      </c>
      <c r="B390" s="9" t="s">
        <v>913</v>
      </c>
      <c r="C390" s="9" t="s">
        <v>920</v>
      </c>
      <c r="D390" s="9" t="s">
        <v>987</v>
      </c>
      <c r="E390" s="9" t="s">
        <v>988</v>
      </c>
      <c r="F390" s="9" t="s">
        <v>692</v>
      </c>
      <c r="G390" s="10">
        <v>4.59</v>
      </c>
      <c r="H390" s="11">
        <v>2.2000000000000002</v>
      </c>
      <c r="I390" s="8" t="s">
        <v>17</v>
      </c>
    </row>
    <row r="391" spans="1:9" ht="12.5">
      <c r="A391" s="8">
        <v>1105848</v>
      </c>
      <c r="B391" s="9" t="s">
        <v>913</v>
      </c>
      <c r="C391" s="9" t="s">
        <v>956</v>
      </c>
      <c r="D391" s="9" t="s">
        <v>989</v>
      </c>
      <c r="E391" s="9" t="s">
        <v>990</v>
      </c>
      <c r="F391" s="9" t="s">
        <v>692</v>
      </c>
      <c r="G391" s="10">
        <v>4.67</v>
      </c>
      <c r="H391" s="11">
        <v>2</v>
      </c>
      <c r="I391" s="8" t="s">
        <v>17</v>
      </c>
    </row>
    <row r="392" spans="1:9" ht="12.5">
      <c r="A392" s="8">
        <v>1236228</v>
      </c>
      <c r="B392" s="9" t="s">
        <v>913</v>
      </c>
      <c r="C392" s="9" t="s">
        <v>970</v>
      </c>
      <c r="D392" s="9" t="s">
        <v>991</v>
      </c>
      <c r="E392" s="9" t="s">
        <v>992</v>
      </c>
      <c r="F392" s="9" t="s">
        <v>993</v>
      </c>
      <c r="G392" s="10">
        <v>4.28</v>
      </c>
      <c r="H392" s="11">
        <v>8.6</v>
      </c>
      <c r="I392" s="8" t="s">
        <v>21</v>
      </c>
    </row>
    <row r="393" spans="1:9" ht="12.5">
      <c r="A393" s="8">
        <v>1966348</v>
      </c>
      <c r="B393" s="9" t="s">
        <v>913</v>
      </c>
      <c r="C393" s="9" t="s">
        <v>914</v>
      </c>
      <c r="D393" s="9" t="s">
        <v>994</v>
      </c>
      <c r="E393" s="9" t="s">
        <v>995</v>
      </c>
      <c r="F393" s="9" t="s">
        <v>955</v>
      </c>
      <c r="G393" s="10">
        <v>4.29</v>
      </c>
      <c r="H393" s="11">
        <v>8.6</v>
      </c>
      <c r="I393" s="8" t="s">
        <v>21</v>
      </c>
    </row>
    <row r="394" spans="1:9" ht="12.5">
      <c r="A394" s="8">
        <v>2210462</v>
      </c>
      <c r="B394" s="9" t="s">
        <v>913</v>
      </c>
      <c r="C394" s="9" t="s">
        <v>970</v>
      </c>
      <c r="D394" s="9" t="s">
        <v>996</v>
      </c>
      <c r="E394" s="9" t="s">
        <v>997</v>
      </c>
      <c r="F394" s="9" t="s">
        <v>993</v>
      </c>
      <c r="G394" s="10">
        <v>4.87</v>
      </c>
      <c r="H394" s="11">
        <v>2.4</v>
      </c>
      <c r="I394" s="8" t="s">
        <v>17</v>
      </c>
    </row>
    <row r="395" spans="1:9" ht="12.5">
      <c r="A395" s="8">
        <v>3516640</v>
      </c>
      <c r="B395" s="9" t="s">
        <v>913</v>
      </c>
      <c r="C395" s="9" t="s">
        <v>920</v>
      </c>
      <c r="D395" s="9" t="s">
        <v>998</v>
      </c>
      <c r="E395" s="9" t="s">
        <v>999</v>
      </c>
      <c r="F395" s="9" t="s">
        <v>1000</v>
      </c>
      <c r="G395" s="10">
        <v>4.66</v>
      </c>
      <c r="H395" s="11">
        <v>1.4</v>
      </c>
      <c r="I395" s="8" t="s">
        <v>21</v>
      </c>
    </row>
    <row r="396" spans="1:9" ht="12.5">
      <c r="A396" s="8">
        <v>948132</v>
      </c>
      <c r="B396" s="9" t="s">
        <v>913</v>
      </c>
      <c r="C396" s="9" t="s">
        <v>920</v>
      </c>
      <c r="D396" s="9" t="s">
        <v>1001</v>
      </c>
      <c r="E396" s="9" t="s">
        <v>1002</v>
      </c>
      <c r="F396" s="9" t="s">
        <v>692</v>
      </c>
      <c r="G396" s="10">
        <v>3.97</v>
      </c>
      <c r="H396" s="11">
        <v>1.7</v>
      </c>
      <c r="I396" s="8" t="s">
        <v>17</v>
      </c>
    </row>
    <row r="397" spans="1:9" ht="12.5">
      <c r="A397" s="8">
        <v>288840</v>
      </c>
      <c r="B397" s="9" t="s">
        <v>913</v>
      </c>
      <c r="C397" s="9" t="s">
        <v>970</v>
      </c>
      <c r="D397" s="9" t="s">
        <v>1003</v>
      </c>
      <c r="E397" s="9" t="s">
        <v>1004</v>
      </c>
      <c r="F397" s="9" t="s">
        <v>973</v>
      </c>
      <c r="G397" s="10">
        <v>4.66</v>
      </c>
      <c r="H397" s="11">
        <v>6.3</v>
      </c>
      <c r="I397" s="8" t="s">
        <v>21</v>
      </c>
    </row>
    <row r="398" spans="1:9" ht="12.5">
      <c r="A398" s="8">
        <v>1459518</v>
      </c>
      <c r="B398" s="9" t="s">
        <v>913</v>
      </c>
      <c r="C398" s="9" t="s">
        <v>956</v>
      </c>
      <c r="D398" s="9" t="s">
        <v>1005</v>
      </c>
      <c r="E398" s="9" t="s">
        <v>1006</v>
      </c>
      <c r="F398" s="9" t="s">
        <v>1007</v>
      </c>
      <c r="G398" s="10">
        <v>4.51</v>
      </c>
      <c r="H398" s="11">
        <v>2.4</v>
      </c>
      <c r="I398" s="8" t="s">
        <v>21</v>
      </c>
    </row>
    <row r="399" spans="1:9" ht="12.5">
      <c r="A399" s="8">
        <v>1979532</v>
      </c>
      <c r="B399" s="9" t="s">
        <v>913</v>
      </c>
      <c r="C399" s="9" t="s">
        <v>914</v>
      </c>
      <c r="D399" s="9" t="s">
        <v>1008</v>
      </c>
      <c r="E399" s="9" t="s">
        <v>1009</v>
      </c>
      <c r="F399" s="9" t="s">
        <v>955</v>
      </c>
      <c r="G399" s="10">
        <v>4.21</v>
      </c>
      <c r="H399" s="11">
        <v>6.9</v>
      </c>
      <c r="I399" s="8" t="s">
        <v>21</v>
      </c>
    </row>
    <row r="400" spans="1:9" ht="12.5">
      <c r="A400" s="8">
        <v>585522</v>
      </c>
      <c r="B400" s="9" t="s">
        <v>913</v>
      </c>
      <c r="C400" s="9" t="s">
        <v>970</v>
      </c>
      <c r="D400" s="9" t="s">
        <v>1010</v>
      </c>
      <c r="E400" s="9" t="s">
        <v>1011</v>
      </c>
      <c r="F400" s="9" t="s">
        <v>1012</v>
      </c>
      <c r="G400" s="10">
        <v>4.75</v>
      </c>
      <c r="H400" s="11">
        <v>3.7</v>
      </c>
      <c r="I400" s="8" t="s">
        <v>17</v>
      </c>
    </row>
    <row r="401" spans="1:9" ht="12.5">
      <c r="A401" s="8">
        <v>1154564</v>
      </c>
      <c r="B401" s="9" t="s">
        <v>913</v>
      </c>
      <c r="C401" s="9" t="s">
        <v>946</v>
      </c>
      <c r="D401" s="9" t="s">
        <v>1013</v>
      </c>
      <c r="E401" s="9" t="s">
        <v>1014</v>
      </c>
      <c r="F401" s="9" t="s">
        <v>1015</v>
      </c>
      <c r="G401" s="10">
        <v>4.78</v>
      </c>
      <c r="H401" s="11">
        <v>1.1000000000000001</v>
      </c>
      <c r="I401" s="8" t="s">
        <v>72</v>
      </c>
    </row>
    <row r="402" spans="1:9" ht="12.5">
      <c r="A402" s="8">
        <v>1488146</v>
      </c>
      <c r="B402" s="9" t="s">
        <v>913</v>
      </c>
      <c r="C402" s="9" t="s">
        <v>920</v>
      </c>
      <c r="D402" s="9" t="s">
        <v>1016</v>
      </c>
      <c r="E402" s="9" t="s">
        <v>1017</v>
      </c>
      <c r="F402" s="9" t="s">
        <v>96</v>
      </c>
      <c r="G402" s="10">
        <v>4.37</v>
      </c>
      <c r="H402" s="11">
        <v>2.4</v>
      </c>
      <c r="I402" s="8" t="s">
        <v>17</v>
      </c>
    </row>
    <row r="403" spans="1:9" ht="12.5">
      <c r="A403" s="8">
        <v>1478914</v>
      </c>
      <c r="B403" s="9" t="s">
        <v>913</v>
      </c>
      <c r="C403" s="9" t="s">
        <v>970</v>
      </c>
      <c r="D403" s="9" t="s">
        <v>1018</v>
      </c>
      <c r="E403" s="9" t="s">
        <v>1019</v>
      </c>
      <c r="F403" s="9" t="s">
        <v>1020</v>
      </c>
      <c r="G403" s="10">
        <v>4.7300000000000004</v>
      </c>
      <c r="H403" s="11">
        <v>3.7</v>
      </c>
      <c r="I403" s="8" t="s">
        <v>17</v>
      </c>
    </row>
    <row r="404" spans="1:9" ht="12.5">
      <c r="A404" s="8">
        <v>2366878</v>
      </c>
      <c r="B404" s="9" t="s">
        <v>913</v>
      </c>
      <c r="C404" s="9" t="s">
        <v>970</v>
      </c>
      <c r="D404" s="9" t="s">
        <v>1021</v>
      </c>
      <c r="E404" s="9" t="s">
        <v>1022</v>
      </c>
      <c r="F404" s="9" t="s">
        <v>181</v>
      </c>
      <c r="G404" s="10">
        <v>4.3</v>
      </c>
      <c r="H404" s="11">
        <v>1.4</v>
      </c>
      <c r="I404" s="8" t="s">
        <v>21</v>
      </c>
    </row>
    <row r="405" spans="1:9" ht="12.5">
      <c r="A405" s="8">
        <v>3120622</v>
      </c>
      <c r="B405" s="9" t="s">
        <v>913</v>
      </c>
      <c r="C405" s="9" t="s">
        <v>970</v>
      </c>
      <c r="D405" s="9" t="s">
        <v>1023</v>
      </c>
      <c r="E405" s="9" t="s">
        <v>1024</v>
      </c>
      <c r="F405" s="9" t="s">
        <v>1025</v>
      </c>
      <c r="G405" s="10">
        <v>4.59</v>
      </c>
      <c r="H405" s="11">
        <v>1.7</v>
      </c>
      <c r="I405" s="8" t="s">
        <v>17</v>
      </c>
    </row>
    <row r="406" spans="1:9" ht="12.5">
      <c r="A406" s="8">
        <v>3296904</v>
      </c>
      <c r="B406" s="9" t="s">
        <v>913</v>
      </c>
      <c r="C406" s="9" t="s">
        <v>970</v>
      </c>
      <c r="D406" s="9" t="s">
        <v>1026</v>
      </c>
      <c r="E406" s="9" t="s">
        <v>1027</v>
      </c>
      <c r="F406" s="9" t="s">
        <v>1028</v>
      </c>
      <c r="G406" s="10">
        <v>4.67</v>
      </c>
      <c r="H406" s="11">
        <v>18.2</v>
      </c>
      <c r="I406" s="8" t="s">
        <v>21</v>
      </c>
    </row>
    <row r="407" spans="1:9" ht="12.5">
      <c r="A407" s="8">
        <v>3569209</v>
      </c>
      <c r="B407" s="9" t="s">
        <v>913</v>
      </c>
      <c r="C407" s="9" t="s">
        <v>970</v>
      </c>
      <c r="D407" s="9" t="s">
        <v>1029</v>
      </c>
      <c r="E407" s="9" t="s">
        <v>1030</v>
      </c>
      <c r="F407" s="9" t="s">
        <v>1031</v>
      </c>
      <c r="G407" s="10">
        <v>4.6900000000000004</v>
      </c>
      <c r="H407" s="11">
        <v>2.2000000000000002</v>
      </c>
      <c r="I407" s="8" t="s">
        <v>21</v>
      </c>
    </row>
    <row r="408" spans="1:9" ht="12.5">
      <c r="A408" s="8">
        <v>1310338</v>
      </c>
      <c r="B408" s="9" t="s">
        <v>913</v>
      </c>
      <c r="C408" s="9" t="s">
        <v>970</v>
      </c>
      <c r="D408" s="9" t="s">
        <v>1032</v>
      </c>
      <c r="E408" s="9" t="s">
        <v>1033</v>
      </c>
      <c r="F408" s="9" t="s">
        <v>993</v>
      </c>
      <c r="G408" s="10">
        <v>3.97</v>
      </c>
      <c r="H408" s="11">
        <v>3.3</v>
      </c>
      <c r="I408" s="8" t="s">
        <v>21</v>
      </c>
    </row>
    <row r="409" spans="1:9" ht="12.5">
      <c r="A409" s="8">
        <v>2244124</v>
      </c>
      <c r="B409" s="9" t="s">
        <v>1034</v>
      </c>
      <c r="C409" s="9" t="s">
        <v>1035</v>
      </c>
      <c r="D409" s="9" t="s">
        <v>1036</v>
      </c>
      <c r="E409" s="9" t="s">
        <v>1037</v>
      </c>
      <c r="F409" s="9" t="s">
        <v>234</v>
      </c>
      <c r="G409" s="10">
        <v>4.24</v>
      </c>
      <c r="H409" s="11">
        <v>1.8</v>
      </c>
      <c r="I409" s="8" t="s">
        <v>17</v>
      </c>
    </row>
    <row r="410" spans="1:9" ht="12.5">
      <c r="A410" s="8">
        <v>2845456</v>
      </c>
      <c r="B410" s="9" t="s">
        <v>1034</v>
      </c>
      <c r="C410" s="9" t="s">
        <v>1035</v>
      </c>
      <c r="D410" s="9" t="s">
        <v>1038</v>
      </c>
      <c r="E410" s="9" t="s">
        <v>1039</v>
      </c>
      <c r="F410" s="9" t="s">
        <v>16</v>
      </c>
      <c r="G410" s="10">
        <v>4.47</v>
      </c>
      <c r="H410" s="11">
        <v>4.5</v>
      </c>
      <c r="I410" s="8" t="s">
        <v>21</v>
      </c>
    </row>
    <row r="411" spans="1:9" ht="12.5">
      <c r="A411" s="8">
        <v>2467056</v>
      </c>
      <c r="B411" s="9" t="s">
        <v>1034</v>
      </c>
      <c r="C411" s="9" t="s">
        <v>1040</v>
      </c>
      <c r="D411" s="9" t="s">
        <v>1041</v>
      </c>
      <c r="E411" s="9" t="s">
        <v>1042</v>
      </c>
      <c r="F411" s="9" t="s">
        <v>16</v>
      </c>
      <c r="G411" s="10">
        <v>4.42</v>
      </c>
      <c r="H411" s="11">
        <v>3.5</v>
      </c>
      <c r="I411" s="8" t="s">
        <v>21</v>
      </c>
    </row>
    <row r="412" spans="1:9" ht="12.5">
      <c r="A412" s="8">
        <v>1725776</v>
      </c>
      <c r="B412" s="9" t="s">
        <v>1034</v>
      </c>
      <c r="C412" s="9" t="s">
        <v>1043</v>
      </c>
      <c r="D412" s="9" t="s">
        <v>1044</v>
      </c>
      <c r="E412" s="9" t="s">
        <v>1045</v>
      </c>
      <c r="F412" s="9" t="s">
        <v>1046</v>
      </c>
      <c r="G412" s="10">
        <v>4.33</v>
      </c>
      <c r="H412" s="11">
        <v>28.9</v>
      </c>
      <c r="I412" s="8" t="s">
        <v>72</v>
      </c>
    </row>
    <row r="413" spans="1:9" ht="12.5">
      <c r="A413" s="8">
        <v>1599840</v>
      </c>
      <c r="B413" s="9" t="s">
        <v>1034</v>
      </c>
      <c r="C413" s="9" t="s">
        <v>1047</v>
      </c>
      <c r="D413" s="9" t="s">
        <v>1048</v>
      </c>
      <c r="E413" s="9" t="s">
        <v>1049</v>
      </c>
      <c r="F413" s="9" t="s">
        <v>871</v>
      </c>
      <c r="G413" s="10">
        <v>4.59</v>
      </c>
      <c r="H413" s="11">
        <v>6.5</v>
      </c>
      <c r="I413" s="8" t="s">
        <v>21</v>
      </c>
    </row>
    <row r="414" spans="1:9" ht="12.5">
      <c r="A414" s="8">
        <v>1058196</v>
      </c>
      <c r="B414" s="9" t="s">
        <v>1034</v>
      </c>
      <c r="C414" s="9" t="s">
        <v>1050</v>
      </c>
      <c r="D414" s="9" t="s">
        <v>1051</v>
      </c>
      <c r="E414" s="9" t="s">
        <v>1052</v>
      </c>
      <c r="F414" s="9" t="s">
        <v>1053</v>
      </c>
      <c r="G414" s="10">
        <v>4.5599999999999996</v>
      </c>
      <c r="H414" s="11">
        <v>2.2999999999999998</v>
      </c>
      <c r="I414" s="8" t="s">
        <v>21</v>
      </c>
    </row>
    <row r="415" spans="1:9" ht="12.5">
      <c r="A415" s="8">
        <v>1216020</v>
      </c>
      <c r="B415" s="9" t="s">
        <v>1034</v>
      </c>
      <c r="C415" s="9" t="s">
        <v>1035</v>
      </c>
      <c r="D415" s="9" t="s">
        <v>1054</v>
      </c>
      <c r="E415" s="9" t="s">
        <v>1055</v>
      </c>
      <c r="F415" s="9" t="s">
        <v>1056</v>
      </c>
      <c r="G415" s="10">
        <v>4.1900000000000004</v>
      </c>
      <c r="H415" s="11">
        <v>0.5</v>
      </c>
      <c r="I415" s="8" t="s">
        <v>21</v>
      </c>
    </row>
    <row r="416" spans="1:9" ht="12.5">
      <c r="A416" s="8">
        <v>1894542</v>
      </c>
      <c r="B416" s="9" t="s">
        <v>1034</v>
      </c>
      <c r="C416" s="9" t="s">
        <v>1040</v>
      </c>
      <c r="D416" s="9" t="s">
        <v>1057</v>
      </c>
      <c r="E416" s="9" t="s">
        <v>1058</v>
      </c>
      <c r="F416" s="9" t="s">
        <v>1059</v>
      </c>
      <c r="G416" s="10">
        <v>4.2699999999999996</v>
      </c>
      <c r="H416" s="11">
        <v>10.5</v>
      </c>
      <c r="I416" s="8" t="s">
        <v>21</v>
      </c>
    </row>
    <row r="417" spans="1:9" ht="12.5">
      <c r="A417" s="8">
        <v>2979424</v>
      </c>
      <c r="B417" s="9" t="s">
        <v>1034</v>
      </c>
      <c r="C417" s="9" t="s">
        <v>1035</v>
      </c>
      <c r="D417" s="9" t="s">
        <v>1060</v>
      </c>
      <c r="E417" s="9" t="s">
        <v>1061</v>
      </c>
      <c r="F417" s="9" t="s">
        <v>1062</v>
      </c>
      <c r="G417" s="10">
        <v>4.2699999999999996</v>
      </c>
      <c r="H417" s="11">
        <v>1</v>
      </c>
      <c r="I417" s="8" t="s">
        <v>17</v>
      </c>
    </row>
    <row r="418" spans="1:9" ht="12.5">
      <c r="A418" s="8">
        <v>3466696</v>
      </c>
      <c r="B418" s="9" t="s">
        <v>1034</v>
      </c>
      <c r="C418" s="9" t="s">
        <v>1050</v>
      </c>
      <c r="D418" s="9" t="s">
        <v>1063</v>
      </c>
      <c r="E418" s="9" t="s">
        <v>1064</v>
      </c>
      <c r="F418" s="9" t="s">
        <v>1065</v>
      </c>
      <c r="G418" s="10">
        <v>4.32</v>
      </c>
      <c r="H418" s="11">
        <v>5.3</v>
      </c>
      <c r="I418" s="8" t="s">
        <v>21</v>
      </c>
    </row>
    <row r="419" spans="1:9" ht="12.5">
      <c r="A419" s="8">
        <v>2431008</v>
      </c>
      <c r="B419" s="9" t="s">
        <v>1066</v>
      </c>
      <c r="C419" s="9" t="s">
        <v>1067</v>
      </c>
      <c r="D419" s="9" t="s">
        <v>1068</v>
      </c>
      <c r="E419" s="9" t="s">
        <v>1069</v>
      </c>
      <c r="F419" s="9" t="s">
        <v>684</v>
      </c>
      <c r="G419" s="10">
        <v>4.45</v>
      </c>
      <c r="H419" s="11">
        <v>1.4</v>
      </c>
      <c r="I419" s="8" t="s">
        <v>21</v>
      </c>
    </row>
    <row r="420" spans="1:9" ht="12.5">
      <c r="A420" s="8">
        <v>1343538</v>
      </c>
      <c r="B420" s="9" t="s">
        <v>1066</v>
      </c>
      <c r="C420" s="9" t="s">
        <v>1067</v>
      </c>
      <c r="D420" s="9" t="s">
        <v>1070</v>
      </c>
      <c r="E420" s="9" t="s">
        <v>1071</v>
      </c>
      <c r="F420" s="9" t="s">
        <v>1056</v>
      </c>
      <c r="G420" s="10">
        <v>4.68</v>
      </c>
      <c r="H420" s="11">
        <v>1</v>
      </c>
      <c r="I420" s="8" t="s">
        <v>21</v>
      </c>
    </row>
    <row r="421" spans="1:9" ht="12.5">
      <c r="A421" s="8">
        <v>2410642</v>
      </c>
      <c r="B421" s="9" t="s">
        <v>1066</v>
      </c>
      <c r="C421" s="9" t="s">
        <v>1067</v>
      </c>
      <c r="D421" s="9" t="s">
        <v>1072</v>
      </c>
      <c r="E421" s="9" t="s">
        <v>1073</v>
      </c>
      <c r="F421" s="9" t="s">
        <v>809</v>
      </c>
      <c r="G421" s="10">
        <v>4.4000000000000004</v>
      </c>
      <c r="H421" s="11">
        <v>16.899999999999999</v>
      </c>
      <c r="I421" s="8" t="s">
        <v>17</v>
      </c>
    </row>
    <row r="422" spans="1:9" ht="12.5">
      <c r="A422" s="8">
        <v>2465682</v>
      </c>
      <c r="B422" s="9" t="s">
        <v>1066</v>
      </c>
      <c r="C422" s="9" t="s">
        <v>1067</v>
      </c>
      <c r="D422" s="9" t="s">
        <v>1074</v>
      </c>
      <c r="E422" s="9" t="s">
        <v>1075</v>
      </c>
      <c r="F422" s="9" t="s">
        <v>753</v>
      </c>
      <c r="G422" s="10">
        <v>4.6500000000000004</v>
      </c>
      <c r="H422" s="11">
        <v>6</v>
      </c>
      <c r="I422" s="8" t="s">
        <v>21</v>
      </c>
    </row>
    <row r="423" spans="1:9" ht="12.5">
      <c r="A423" s="8">
        <v>2418790</v>
      </c>
      <c r="B423" s="9" t="s">
        <v>1066</v>
      </c>
      <c r="C423" s="9" t="s">
        <v>1076</v>
      </c>
      <c r="D423" s="9" t="s">
        <v>1077</v>
      </c>
      <c r="E423" s="9" t="s">
        <v>1078</v>
      </c>
      <c r="F423" s="9" t="s">
        <v>1079</v>
      </c>
      <c r="G423" s="10">
        <v>4.5199999999999996</v>
      </c>
      <c r="H423" s="11">
        <v>1.7</v>
      </c>
      <c r="I423" s="8" t="s">
        <v>17</v>
      </c>
    </row>
    <row r="424" spans="1:9" ht="12.5">
      <c r="A424" s="8">
        <v>2623308</v>
      </c>
      <c r="B424" s="9" t="s">
        <v>1066</v>
      </c>
      <c r="C424" s="9" t="s">
        <v>1067</v>
      </c>
      <c r="D424" s="9" t="s">
        <v>1080</v>
      </c>
      <c r="E424" s="9" t="s">
        <v>1081</v>
      </c>
      <c r="F424" s="9" t="s">
        <v>1079</v>
      </c>
      <c r="G424" s="10">
        <v>4.33</v>
      </c>
      <c r="H424" s="11">
        <v>1.9</v>
      </c>
      <c r="I424" s="8" t="s">
        <v>21</v>
      </c>
    </row>
    <row r="425" spans="1:9" ht="12.5">
      <c r="A425" s="8">
        <v>2319434</v>
      </c>
      <c r="B425" s="9" t="s">
        <v>1082</v>
      </c>
      <c r="C425" s="9" t="s">
        <v>1083</v>
      </c>
      <c r="D425" s="9" t="s">
        <v>1084</v>
      </c>
      <c r="E425" s="9" t="s">
        <v>1085</v>
      </c>
      <c r="F425" s="9" t="s">
        <v>980</v>
      </c>
      <c r="G425" s="10">
        <v>4.3600000000000003</v>
      </c>
      <c r="H425" s="11">
        <v>2.5</v>
      </c>
      <c r="I425" s="8" t="s">
        <v>17</v>
      </c>
    </row>
    <row r="426" spans="1:9" ht="12.5">
      <c r="A426" s="8">
        <v>2455590</v>
      </c>
      <c r="B426" s="9" t="s">
        <v>1082</v>
      </c>
      <c r="C426" s="9" t="s">
        <v>1086</v>
      </c>
      <c r="D426" s="9" t="s">
        <v>1087</v>
      </c>
      <c r="E426" s="9" t="s">
        <v>1088</v>
      </c>
      <c r="F426" s="9" t="s">
        <v>689</v>
      </c>
      <c r="G426" s="10">
        <v>4.4000000000000004</v>
      </c>
      <c r="H426" s="11">
        <v>2.5</v>
      </c>
      <c r="I426" s="8" t="s">
        <v>21</v>
      </c>
    </row>
  </sheetData>
  <autoFilter ref="A4:I426" xr:uid="{00000000-0009-0000-0000-000000000000}">
    <sortState xmlns:xlrd2="http://schemas.microsoft.com/office/spreadsheetml/2017/richdata2" ref="A4:I426">
      <sortCondition ref="B4:B426"/>
      <sortCondition ref="C4:C426"/>
      <sortCondition ref="D4:D426"/>
    </sortState>
  </autoFilter>
  <mergeCells count="3">
    <mergeCell ref="D1:G1"/>
    <mergeCell ref="B2:I2"/>
    <mergeCell ref="B3:I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511"/>
  <sheetViews>
    <sheetView showGridLines="0" topLeftCell="D1" workbookViewId="0">
      <pane ySplit="4" topLeftCell="A507" activePane="bottomLeft" state="frozen"/>
      <selection pane="bottomLeft" activeCell="D1" sqref="D1:G1"/>
    </sheetView>
  </sheetViews>
  <sheetFormatPr defaultColWidth="14.453125" defaultRowHeight="15.75" customHeight="1"/>
  <cols>
    <col min="1" max="1" width="14.453125" customWidth="1"/>
    <col min="2" max="2" width="29.54296875" customWidth="1"/>
    <col min="3" max="3" width="30.54296875" customWidth="1"/>
    <col min="4" max="4" width="67.54296875" customWidth="1"/>
    <col min="5" max="5" width="68" customWidth="1"/>
    <col min="6" max="6" width="26.26953125" customWidth="1"/>
    <col min="7" max="7" width="16.54296875" customWidth="1"/>
    <col min="8" max="8" width="15.81640625" customWidth="1"/>
    <col min="9" max="9" width="20.1796875" customWidth="1"/>
  </cols>
  <sheetData>
    <row r="1" spans="1:9" ht="45" customHeight="1">
      <c r="A1" s="1"/>
      <c r="B1" s="1"/>
      <c r="C1" s="1"/>
      <c r="D1" s="64" t="s">
        <v>0</v>
      </c>
      <c r="E1" s="65"/>
      <c r="F1" s="65"/>
      <c r="G1" s="65"/>
      <c r="H1" s="1"/>
      <c r="I1" s="1"/>
    </row>
    <row r="2" spans="1:9" ht="20.25" customHeight="1">
      <c r="A2" s="2"/>
      <c r="B2" s="66" t="s">
        <v>1089</v>
      </c>
      <c r="C2" s="65"/>
      <c r="D2" s="65"/>
      <c r="E2" s="65"/>
      <c r="F2" s="65"/>
      <c r="G2" s="65"/>
      <c r="H2" s="65"/>
      <c r="I2" s="65"/>
    </row>
    <row r="3" spans="1:9" ht="20.25" customHeight="1">
      <c r="A3" s="3"/>
      <c r="B3" s="67" t="s">
        <v>1090</v>
      </c>
      <c r="C3" s="65"/>
      <c r="D3" s="65"/>
      <c r="E3" s="65"/>
      <c r="F3" s="65"/>
      <c r="G3" s="65"/>
      <c r="H3" s="65"/>
      <c r="I3" s="65"/>
    </row>
    <row r="4" spans="1:9" ht="13">
      <c r="A4" s="4" t="s">
        <v>3</v>
      </c>
      <c r="B4" s="4" t="s">
        <v>4</v>
      </c>
      <c r="C4" s="4" t="s">
        <v>5</v>
      </c>
      <c r="D4" s="4" t="s">
        <v>6</v>
      </c>
      <c r="E4" s="4" t="s">
        <v>7</v>
      </c>
      <c r="F4" s="7" t="s">
        <v>8</v>
      </c>
      <c r="G4" s="6" t="s">
        <v>9</v>
      </c>
      <c r="H4" s="6" t="s">
        <v>10</v>
      </c>
      <c r="I4" s="7" t="s">
        <v>11</v>
      </c>
    </row>
    <row r="5" spans="1:9" ht="12.5">
      <c r="A5" s="14">
        <v>1407048</v>
      </c>
      <c r="B5" s="14" t="s">
        <v>12</v>
      </c>
      <c r="C5" s="14" t="s">
        <v>24</v>
      </c>
      <c r="D5" s="14" t="s">
        <v>1091</v>
      </c>
      <c r="E5" s="14" t="s">
        <v>1092</v>
      </c>
      <c r="F5" s="14" t="s">
        <v>1093</v>
      </c>
      <c r="G5" s="15">
        <v>4.2</v>
      </c>
      <c r="H5" s="15">
        <v>18.5</v>
      </c>
      <c r="I5" s="14" t="s">
        <v>21</v>
      </c>
    </row>
    <row r="6" spans="1:9" ht="12.5">
      <c r="A6" s="16">
        <v>1970058</v>
      </c>
      <c r="B6" s="17" t="s">
        <v>12</v>
      </c>
      <c r="C6" s="17" t="s">
        <v>13</v>
      </c>
      <c r="D6" s="14" t="s">
        <v>1094</v>
      </c>
      <c r="E6" s="14" t="s">
        <v>1095</v>
      </c>
      <c r="F6" s="14" t="s">
        <v>1093</v>
      </c>
      <c r="G6" s="15">
        <v>4.72</v>
      </c>
      <c r="H6" s="15">
        <v>4.3</v>
      </c>
      <c r="I6" s="18" t="s">
        <v>21</v>
      </c>
    </row>
    <row r="7" spans="1:9" ht="12.5">
      <c r="A7" s="16">
        <v>958696</v>
      </c>
      <c r="B7" s="17" t="s">
        <v>12</v>
      </c>
      <c r="C7" s="17" t="s">
        <v>13</v>
      </c>
      <c r="D7" s="14" t="s">
        <v>1096</v>
      </c>
      <c r="E7" s="14" t="s">
        <v>1097</v>
      </c>
      <c r="F7" s="14" t="s">
        <v>1093</v>
      </c>
      <c r="G7" s="15">
        <v>4.3499999999999996</v>
      </c>
      <c r="H7" s="15">
        <v>1.9</v>
      </c>
      <c r="I7" s="18" t="s">
        <v>21</v>
      </c>
    </row>
    <row r="8" spans="1:9" ht="12.5">
      <c r="A8" s="14">
        <v>1307308</v>
      </c>
      <c r="B8" s="14" t="s">
        <v>31</v>
      </c>
      <c r="C8" s="14" t="s">
        <v>37</v>
      </c>
      <c r="D8" s="14" t="s">
        <v>1098</v>
      </c>
      <c r="E8" s="14" t="s">
        <v>1099</v>
      </c>
      <c r="F8" s="14" t="s">
        <v>1100</v>
      </c>
      <c r="G8" s="15">
        <v>4.59</v>
      </c>
      <c r="H8" s="15">
        <v>30.6</v>
      </c>
      <c r="I8" s="14" t="s">
        <v>17</v>
      </c>
    </row>
    <row r="9" spans="1:9" ht="12.5">
      <c r="A9" s="16">
        <v>2872370</v>
      </c>
      <c r="B9" s="14" t="s">
        <v>31</v>
      </c>
      <c r="C9" s="17" t="s">
        <v>37</v>
      </c>
      <c r="D9" s="14" t="s">
        <v>1101</v>
      </c>
      <c r="E9" s="14" t="s">
        <v>1102</v>
      </c>
      <c r="F9" s="14" t="s">
        <v>1103</v>
      </c>
      <c r="G9" s="15">
        <v>4.63</v>
      </c>
      <c r="H9" s="15">
        <v>7.8</v>
      </c>
      <c r="I9" s="18" t="s">
        <v>21</v>
      </c>
    </row>
    <row r="10" spans="1:9" ht="12.5">
      <c r="A10" s="14">
        <v>3269630</v>
      </c>
      <c r="B10" s="14" t="s">
        <v>31</v>
      </c>
      <c r="C10" s="14" t="s">
        <v>32</v>
      </c>
      <c r="D10" s="14" t="s">
        <v>1104</v>
      </c>
      <c r="E10" s="14" t="s">
        <v>1105</v>
      </c>
      <c r="F10" s="14" t="s">
        <v>1106</v>
      </c>
      <c r="G10" s="15">
        <v>4.7</v>
      </c>
      <c r="H10" s="15">
        <v>29.5</v>
      </c>
      <c r="I10" s="18" t="s">
        <v>17</v>
      </c>
    </row>
    <row r="11" spans="1:9" ht="12.5">
      <c r="A11" s="16">
        <v>2789434</v>
      </c>
      <c r="B11" s="17" t="s">
        <v>31</v>
      </c>
      <c r="C11" s="17" t="s">
        <v>44</v>
      </c>
      <c r="D11" s="14" t="s">
        <v>1107</v>
      </c>
      <c r="E11" s="14" t="s">
        <v>1108</v>
      </c>
      <c r="F11" s="14" t="s">
        <v>1109</v>
      </c>
      <c r="G11" s="15">
        <v>4.2699999999999996</v>
      </c>
      <c r="H11" s="15">
        <v>6.5</v>
      </c>
      <c r="I11" s="18" t="s">
        <v>17</v>
      </c>
    </row>
    <row r="12" spans="1:9" ht="12.5">
      <c r="A12" s="16">
        <v>2703546</v>
      </c>
      <c r="B12" s="17" t="s">
        <v>31</v>
      </c>
      <c r="C12" s="17" t="s">
        <v>37</v>
      </c>
      <c r="D12" s="14" t="s">
        <v>1110</v>
      </c>
      <c r="E12" s="14" t="s">
        <v>1111</v>
      </c>
      <c r="F12" s="14" t="s">
        <v>1106</v>
      </c>
      <c r="G12" s="15">
        <v>4.58</v>
      </c>
      <c r="H12" s="15">
        <v>23.5</v>
      </c>
      <c r="I12" s="18" t="s">
        <v>17</v>
      </c>
    </row>
    <row r="13" spans="1:9" ht="12.5">
      <c r="A13" s="16">
        <v>640446</v>
      </c>
      <c r="B13" s="17" t="s">
        <v>31</v>
      </c>
      <c r="C13" s="17" t="s">
        <v>37</v>
      </c>
      <c r="D13" s="14" t="s">
        <v>1112</v>
      </c>
      <c r="E13" s="14" t="s">
        <v>1113</v>
      </c>
      <c r="F13" s="14" t="s">
        <v>1114</v>
      </c>
      <c r="G13" s="15">
        <v>4.7300000000000004</v>
      </c>
      <c r="H13" s="15">
        <v>2.4</v>
      </c>
      <c r="I13" s="18" t="s">
        <v>21</v>
      </c>
    </row>
    <row r="14" spans="1:9" ht="12.5">
      <c r="A14" s="14">
        <v>1551466</v>
      </c>
      <c r="B14" s="14" t="s">
        <v>31</v>
      </c>
      <c r="C14" s="14" t="s">
        <v>32</v>
      </c>
      <c r="D14" s="14" t="s">
        <v>1115</v>
      </c>
      <c r="E14" s="14" t="s">
        <v>1116</v>
      </c>
      <c r="F14" s="14" t="s">
        <v>1117</v>
      </c>
      <c r="G14" s="15">
        <v>4.68</v>
      </c>
      <c r="H14" s="15">
        <v>20</v>
      </c>
      <c r="I14" s="14" t="s">
        <v>21</v>
      </c>
    </row>
    <row r="15" spans="1:9" ht="12.5">
      <c r="A15" s="16">
        <v>1449348</v>
      </c>
      <c r="B15" s="17" t="s">
        <v>31</v>
      </c>
      <c r="C15" s="17" t="s">
        <v>32</v>
      </c>
      <c r="D15" s="14" t="s">
        <v>1118</v>
      </c>
      <c r="E15" s="14" t="s">
        <v>1119</v>
      </c>
      <c r="F15" s="14" t="s">
        <v>1100</v>
      </c>
      <c r="G15" s="15">
        <v>4.6500000000000004</v>
      </c>
      <c r="H15" s="15">
        <v>36</v>
      </c>
      <c r="I15" s="18" t="s">
        <v>17</v>
      </c>
    </row>
    <row r="16" spans="1:9" ht="12.5">
      <c r="A16" s="16">
        <v>1745078</v>
      </c>
      <c r="B16" s="17" t="s">
        <v>31</v>
      </c>
      <c r="C16" s="17" t="s">
        <v>32</v>
      </c>
      <c r="D16" s="14" t="s">
        <v>1120</v>
      </c>
      <c r="E16" s="14" t="s">
        <v>1121</v>
      </c>
      <c r="F16" s="14" t="s">
        <v>1106</v>
      </c>
      <c r="G16" s="15">
        <v>4.71</v>
      </c>
      <c r="H16" s="15">
        <v>25.2</v>
      </c>
      <c r="I16" s="18" t="s">
        <v>72</v>
      </c>
    </row>
    <row r="17" spans="1:9" ht="12.5">
      <c r="A17" s="14">
        <v>1904708</v>
      </c>
      <c r="B17" s="14" t="s">
        <v>31</v>
      </c>
      <c r="C17" s="14" t="s">
        <v>44</v>
      </c>
      <c r="D17" s="14" t="s">
        <v>1122</v>
      </c>
      <c r="E17" s="14" t="s">
        <v>1122</v>
      </c>
      <c r="F17" s="14" t="s">
        <v>1117</v>
      </c>
      <c r="G17" s="15">
        <v>4.45</v>
      </c>
      <c r="H17" s="15">
        <v>11.4</v>
      </c>
      <c r="I17" s="14" t="s">
        <v>21</v>
      </c>
    </row>
    <row r="18" spans="1:9" ht="12.5">
      <c r="A18" s="16">
        <v>1015492</v>
      </c>
      <c r="B18" s="17" t="s">
        <v>31</v>
      </c>
      <c r="C18" s="17" t="s">
        <v>37</v>
      </c>
      <c r="D18" s="14" t="s">
        <v>1123</v>
      </c>
      <c r="E18" s="14" t="s">
        <v>1124</v>
      </c>
      <c r="F18" s="14" t="s">
        <v>1100</v>
      </c>
      <c r="G18" s="15">
        <v>4.63</v>
      </c>
      <c r="H18" s="15">
        <v>7.6</v>
      </c>
      <c r="I18" s="18" t="s">
        <v>72</v>
      </c>
    </row>
    <row r="19" spans="1:9" ht="12.5">
      <c r="A19" s="14">
        <v>1868032</v>
      </c>
      <c r="B19" s="14" t="s">
        <v>31</v>
      </c>
      <c r="C19" s="14" t="s">
        <v>93</v>
      </c>
      <c r="D19" s="14" t="s">
        <v>1125</v>
      </c>
      <c r="E19" s="14" t="s">
        <v>1126</v>
      </c>
      <c r="F19" s="14" t="s">
        <v>65</v>
      </c>
      <c r="G19" s="15">
        <v>4.3</v>
      </c>
      <c r="H19" s="15">
        <v>6.1</v>
      </c>
      <c r="I19" s="14" t="s">
        <v>21</v>
      </c>
    </row>
    <row r="20" spans="1:9" ht="12.5">
      <c r="A20" s="16">
        <v>2045342</v>
      </c>
      <c r="B20" s="14" t="s">
        <v>31</v>
      </c>
      <c r="C20" s="17" t="s">
        <v>37</v>
      </c>
      <c r="D20" s="14" t="s">
        <v>1127</v>
      </c>
      <c r="E20" s="14" t="s">
        <v>1128</v>
      </c>
      <c r="F20" s="14" t="s">
        <v>1129</v>
      </c>
      <c r="G20" s="15">
        <v>4.5599999999999996</v>
      </c>
      <c r="H20" s="15">
        <v>2.8</v>
      </c>
      <c r="I20" s="18" t="s">
        <v>17</v>
      </c>
    </row>
    <row r="21" spans="1:9" ht="12.5">
      <c r="A21" s="16">
        <v>1111116</v>
      </c>
      <c r="B21" s="17" t="s">
        <v>31</v>
      </c>
      <c r="C21" s="17" t="s">
        <v>44</v>
      </c>
      <c r="D21" s="14" t="s">
        <v>1130</v>
      </c>
      <c r="E21" s="14" t="s">
        <v>1131</v>
      </c>
      <c r="F21" s="14" t="s">
        <v>1100</v>
      </c>
      <c r="G21" s="15">
        <v>4.74</v>
      </c>
      <c r="H21" s="15">
        <v>7.6</v>
      </c>
      <c r="I21" s="18" t="s">
        <v>72</v>
      </c>
    </row>
    <row r="22" spans="1:9" ht="12.5">
      <c r="A22" s="14">
        <v>1404090</v>
      </c>
      <c r="B22" s="14" t="s">
        <v>31</v>
      </c>
      <c r="C22" s="14" t="s">
        <v>44</v>
      </c>
      <c r="D22" s="17" t="s">
        <v>1132</v>
      </c>
      <c r="E22" s="14" t="s">
        <v>1133</v>
      </c>
      <c r="F22" s="14" t="s">
        <v>1117</v>
      </c>
      <c r="G22" s="15">
        <v>4.6100000000000003</v>
      </c>
      <c r="H22" s="15">
        <v>25</v>
      </c>
      <c r="I22" s="14" t="s">
        <v>21</v>
      </c>
    </row>
    <row r="23" spans="1:9" ht="12.5">
      <c r="A23" s="16">
        <v>1175340</v>
      </c>
      <c r="B23" s="17" t="s">
        <v>31</v>
      </c>
      <c r="C23" s="17" t="s">
        <v>32</v>
      </c>
      <c r="D23" s="14" t="s">
        <v>1134</v>
      </c>
      <c r="E23" s="14" t="s">
        <v>1135</v>
      </c>
      <c r="F23" s="14" t="s">
        <v>1136</v>
      </c>
      <c r="G23" s="15">
        <v>4.67</v>
      </c>
      <c r="H23" s="15">
        <v>8.6</v>
      </c>
      <c r="I23" s="18" t="s">
        <v>17</v>
      </c>
    </row>
    <row r="24" spans="1:9" ht="12.5">
      <c r="A24" s="14">
        <v>1528850</v>
      </c>
      <c r="B24" s="14" t="s">
        <v>31</v>
      </c>
      <c r="C24" s="14" t="s">
        <v>44</v>
      </c>
      <c r="D24" s="14" t="s">
        <v>1137</v>
      </c>
      <c r="E24" s="14" t="s">
        <v>1138</v>
      </c>
      <c r="F24" s="14" t="s">
        <v>1106</v>
      </c>
      <c r="G24" s="19">
        <v>4.62</v>
      </c>
      <c r="H24" s="15">
        <v>10</v>
      </c>
      <c r="I24" s="14" t="s">
        <v>72</v>
      </c>
    </row>
    <row r="25" spans="1:9" ht="12.5">
      <c r="A25" s="16">
        <v>1203602</v>
      </c>
      <c r="B25" s="14" t="s">
        <v>31</v>
      </c>
      <c r="C25" s="17" t="s">
        <v>37</v>
      </c>
      <c r="D25" s="14" t="s">
        <v>1139</v>
      </c>
      <c r="E25" s="14" t="s">
        <v>1140</v>
      </c>
      <c r="F25" s="14" t="s">
        <v>1100</v>
      </c>
      <c r="G25" s="15">
        <v>4.53</v>
      </c>
      <c r="H25" s="15">
        <v>9.9</v>
      </c>
      <c r="I25" s="18" t="s">
        <v>72</v>
      </c>
    </row>
    <row r="26" spans="1:9" ht="12.5">
      <c r="A26" s="16">
        <v>3439844</v>
      </c>
      <c r="B26" s="17" t="s">
        <v>31</v>
      </c>
      <c r="C26" s="17" t="s">
        <v>93</v>
      </c>
      <c r="D26" s="14" t="s">
        <v>1141</v>
      </c>
      <c r="E26" s="14" t="s">
        <v>1142</v>
      </c>
      <c r="F26" s="14" t="s">
        <v>1109</v>
      </c>
      <c r="G26" s="15">
        <v>4.5599999999999996</v>
      </c>
      <c r="H26" s="15">
        <v>5.8</v>
      </c>
      <c r="I26" s="18" t="s">
        <v>17</v>
      </c>
    </row>
    <row r="27" spans="1:9" ht="12.5">
      <c r="A27" s="16">
        <v>1671618</v>
      </c>
      <c r="B27" s="17" t="s">
        <v>31</v>
      </c>
      <c r="C27" s="17" t="s">
        <v>32</v>
      </c>
      <c r="D27" s="14" t="s">
        <v>1143</v>
      </c>
      <c r="E27" s="14" t="s">
        <v>1144</v>
      </c>
      <c r="F27" s="14" t="s">
        <v>65</v>
      </c>
      <c r="G27" s="15">
        <v>4.45</v>
      </c>
      <c r="H27" s="15">
        <v>38.200000000000003</v>
      </c>
      <c r="I27" s="18" t="s">
        <v>17</v>
      </c>
    </row>
    <row r="28" spans="1:9" ht="12.5">
      <c r="A28" s="16">
        <v>1362148</v>
      </c>
      <c r="B28" s="17" t="s">
        <v>31</v>
      </c>
      <c r="C28" s="17" t="s">
        <v>37</v>
      </c>
      <c r="D28" s="14" t="s">
        <v>1145</v>
      </c>
      <c r="E28" s="14" t="s">
        <v>1146</v>
      </c>
      <c r="F28" s="14" t="s">
        <v>65</v>
      </c>
      <c r="G28" s="15">
        <v>4.4000000000000004</v>
      </c>
      <c r="H28" s="15">
        <v>18.899999999999999</v>
      </c>
      <c r="I28" s="18" t="s">
        <v>17</v>
      </c>
    </row>
    <row r="29" spans="1:9" ht="12.5">
      <c r="A29" s="14">
        <v>2098692</v>
      </c>
      <c r="B29" s="14" t="s">
        <v>31</v>
      </c>
      <c r="C29" s="14" t="s">
        <v>93</v>
      </c>
      <c r="D29" s="14" t="s">
        <v>1147</v>
      </c>
      <c r="E29" s="14" t="s">
        <v>1148</v>
      </c>
      <c r="F29" s="14" t="s">
        <v>65</v>
      </c>
      <c r="G29" s="15">
        <v>4.4000000000000004</v>
      </c>
      <c r="H29" s="15">
        <v>10</v>
      </c>
      <c r="I29" s="14" t="s">
        <v>17</v>
      </c>
    </row>
    <row r="30" spans="1:9" ht="12.5">
      <c r="A30" s="16">
        <v>964080</v>
      </c>
      <c r="B30" s="17" t="s">
        <v>31</v>
      </c>
      <c r="C30" s="17" t="s">
        <v>37</v>
      </c>
      <c r="D30" s="14" t="s">
        <v>1149</v>
      </c>
      <c r="E30" s="14" t="s">
        <v>1150</v>
      </c>
      <c r="F30" s="14" t="s">
        <v>1151</v>
      </c>
      <c r="G30" s="15">
        <v>4.43</v>
      </c>
      <c r="H30" s="15">
        <v>22.5</v>
      </c>
      <c r="I30" s="18" t="s">
        <v>21</v>
      </c>
    </row>
    <row r="31" spans="1:9" ht="12.5">
      <c r="A31" s="16">
        <v>3001946</v>
      </c>
      <c r="B31" s="17" t="s">
        <v>31</v>
      </c>
      <c r="C31" s="17" t="s">
        <v>37</v>
      </c>
      <c r="D31" s="14" t="s">
        <v>1152</v>
      </c>
      <c r="E31" s="14" t="s">
        <v>1153</v>
      </c>
      <c r="F31" s="14" t="s">
        <v>1106</v>
      </c>
      <c r="G31" s="15">
        <v>4.68</v>
      </c>
      <c r="H31" s="15">
        <v>23.4</v>
      </c>
      <c r="I31" s="18" t="s">
        <v>17</v>
      </c>
    </row>
    <row r="32" spans="1:9" ht="12.5">
      <c r="A32" s="16">
        <v>2643056</v>
      </c>
      <c r="B32" s="17" t="s">
        <v>31</v>
      </c>
      <c r="C32" s="17" t="s">
        <v>37</v>
      </c>
      <c r="D32" s="14" t="s">
        <v>1154</v>
      </c>
      <c r="E32" s="14" t="s">
        <v>1155</v>
      </c>
      <c r="F32" s="14" t="s">
        <v>1156</v>
      </c>
      <c r="G32" s="15">
        <v>4.3099999999999996</v>
      </c>
      <c r="H32" s="15">
        <v>16.3</v>
      </c>
      <c r="I32" s="18" t="s">
        <v>21</v>
      </c>
    </row>
    <row r="33" spans="1:9" ht="12.5">
      <c r="A33" s="16">
        <v>1782064</v>
      </c>
      <c r="B33" s="14" t="s">
        <v>31</v>
      </c>
      <c r="C33" s="17" t="s">
        <v>32</v>
      </c>
      <c r="D33" s="14" t="s">
        <v>1157</v>
      </c>
      <c r="E33" s="14" t="s">
        <v>1158</v>
      </c>
      <c r="F33" s="14" t="s">
        <v>1117</v>
      </c>
      <c r="G33" s="15">
        <v>4.45</v>
      </c>
      <c r="H33" s="15">
        <v>9.9</v>
      </c>
      <c r="I33" s="18" t="s">
        <v>21</v>
      </c>
    </row>
    <row r="34" spans="1:9" ht="12.5">
      <c r="A34" s="16">
        <v>1772800</v>
      </c>
      <c r="B34" s="17" t="s">
        <v>31</v>
      </c>
      <c r="C34" s="17" t="s">
        <v>37</v>
      </c>
      <c r="D34" s="14" t="s">
        <v>1159</v>
      </c>
      <c r="E34" s="14" t="s">
        <v>1160</v>
      </c>
      <c r="F34" s="14" t="s">
        <v>65</v>
      </c>
      <c r="G34" s="15">
        <v>4.57</v>
      </c>
      <c r="H34" s="15">
        <v>8.8000000000000007</v>
      </c>
      <c r="I34" s="18" t="s">
        <v>17</v>
      </c>
    </row>
    <row r="35" spans="1:9" ht="12.5">
      <c r="A35" s="16">
        <v>1836608</v>
      </c>
      <c r="B35" s="17" t="s">
        <v>31</v>
      </c>
      <c r="C35" s="17" t="s">
        <v>1161</v>
      </c>
      <c r="D35" s="14" t="s">
        <v>1162</v>
      </c>
      <c r="E35" s="14" t="s">
        <v>1163</v>
      </c>
      <c r="F35" s="14" t="s">
        <v>1164</v>
      </c>
      <c r="G35" s="15">
        <v>4.4800000000000004</v>
      </c>
      <c r="H35" s="15">
        <v>2.2999999999999998</v>
      </c>
      <c r="I35" s="18" t="s">
        <v>17</v>
      </c>
    </row>
    <row r="36" spans="1:9" ht="12.5">
      <c r="A36" s="14">
        <v>991338</v>
      </c>
      <c r="B36" s="14" t="s">
        <v>31</v>
      </c>
      <c r="C36" s="14" t="s">
        <v>37</v>
      </c>
      <c r="D36" s="14" t="s">
        <v>1165</v>
      </c>
      <c r="E36" s="14" t="s">
        <v>1166</v>
      </c>
      <c r="F36" s="14" t="s">
        <v>1167</v>
      </c>
      <c r="G36" s="15">
        <v>4.49</v>
      </c>
      <c r="H36" s="15">
        <v>18.2</v>
      </c>
      <c r="I36" s="14" t="s">
        <v>21</v>
      </c>
    </row>
    <row r="37" spans="1:9" ht="12.5">
      <c r="A37" s="14">
        <v>1700846</v>
      </c>
      <c r="B37" s="14" t="s">
        <v>31</v>
      </c>
      <c r="C37" s="14" t="s">
        <v>93</v>
      </c>
      <c r="D37" s="14" t="s">
        <v>1168</v>
      </c>
      <c r="E37" s="14" t="s">
        <v>1169</v>
      </c>
      <c r="F37" s="14" t="s">
        <v>1117</v>
      </c>
      <c r="G37" s="15">
        <v>4.07</v>
      </c>
      <c r="H37" s="15">
        <v>3.9</v>
      </c>
      <c r="I37" s="14" t="s">
        <v>21</v>
      </c>
    </row>
    <row r="38" spans="1:9" ht="12.5">
      <c r="A38" s="14">
        <v>1346816</v>
      </c>
      <c r="B38" s="14" t="s">
        <v>31</v>
      </c>
      <c r="C38" s="14" t="s">
        <v>37</v>
      </c>
      <c r="D38" s="14" t="s">
        <v>1170</v>
      </c>
      <c r="E38" s="14" t="s">
        <v>1171</v>
      </c>
      <c r="F38" s="14" t="s">
        <v>1167</v>
      </c>
      <c r="G38" s="15">
        <v>4.93</v>
      </c>
      <c r="H38" s="15">
        <v>9.9</v>
      </c>
      <c r="I38" s="14" t="s">
        <v>21</v>
      </c>
    </row>
    <row r="39" spans="1:9" ht="12.5">
      <c r="A39" s="16">
        <v>2029672</v>
      </c>
      <c r="B39" s="17" t="s">
        <v>31</v>
      </c>
      <c r="C39" s="17" t="s">
        <v>32</v>
      </c>
      <c r="D39" s="14" t="s">
        <v>1172</v>
      </c>
      <c r="E39" s="14" t="s">
        <v>1173</v>
      </c>
      <c r="F39" s="14" t="s">
        <v>1174</v>
      </c>
      <c r="G39" s="15">
        <v>4.0199999999999996</v>
      </c>
      <c r="H39" s="15">
        <v>26.4</v>
      </c>
      <c r="I39" s="18" t="s">
        <v>21</v>
      </c>
    </row>
    <row r="40" spans="1:9" ht="12.5">
      <c r="A40" s="16">
        <v>2476760</v>
      </c>
      <c r="B40" s="17" t="s">
        <v>31</v>
      </c>
      <c r="C40" s="17" t="s">
        <v>1161</v>
      </c>
      <c r="D40" s="14" t="s">
        <v>1175</v>
      </c>
      <c r="E40" s="14" t="s">
        <v>1176</v>
      </c>
      <c r="F40" s="14" t="s">
        <v>1164</v>
      </c>
      <c r="G40" s="19">
        <v>4.49</v>
      </c>
      <c r="H40" s="15">
        <v>4.3</v>
      </c>
      <c r="I40" s="18" t="s">
        <v>17</v>
      </c>
    </row>
    <row r="41" spans="1:9" ht="12.5">
      <c r="A41" s="14">
        <v>1607512</v>
      </c>
      <c r="B41" s="14" t="s">
        <v>31</v>
      </c>
      <c r="C41" s="14" t="s">
        <v>37</v>
      </c>
      <c r="D41" s="14" t="s">
        <v>1177</v>
      </c>
      <c r="E41" s="14" t="s">
        <v>1178</v>
      </c>
      <c r="F41" s="14" t="s">
        <v>1179</v>
      </c>
      <c r="G41" s="15">
        <v>3.97</v>
      </c>
      <c r="H41" s="15">
        <v>3</v>
      </c>
      <c r="I41" s="14" t="s">
        <v>17</v>
      </c>
    </row>
    <row r="42" spans="1:9" ht="12.5">
      <c r="A42" s="16">
        <v>1346762</v>
      </c>
      <c r="B42" s="17" t="s">
        <v>31</v>
      </c>
      <c r="C42" s="17" t="s">
        <v>37</v>
      </c>
      <c r="D42" s="14" t="s">
        <v>1180</v>
      </c>
      <c r="E42" s="14" t="s">
        <v>1181</v>
      </c>
      <c r="F42" s="14" t="s">
        <v>1167</v>
      </c>
      <c r="G42" s="15">
        <v>4.71</v>
      </c>
      <c r="H42" s="15">
        <v>1.8</v>
      </c>
      <c r="I42" s="18" t="s">
        <v>21</v>
      </c>
    </row>
    <row r="43" spans="1:9" ht="12.5">
      <c r="A43" s="14">
        <v>1506686</v>
      </c>
      <c r="B43" s="14" t="s">
        <v>31</v>
      </c>
      <c r="C43" s="14" t="s">
        <v>1161</v>
      </c>
      <c r="D43" s="14" t="s">
        <v>1182</v>
      </c>
      <c r="E43" s="14" t="s">
        <v>1183</v>
      </c>
      <c r="F43" s="14" t="s">
        <v>1164</v>
      </c>
      <c r="G43" s="15">
        <v>4.32</v>
      </c>
      <c r="H43" s="15">
        <v>3.4</v>
      </c>
      <c r="I43" s="14" t="s">
        <v>17</v>
      </c>
    </row>
    <row r="44" spans="1:9" ht="12.5">
      <c r="A44" s="16">
        <v>1376910</v>
      </c>
      <c r="B44" s="17" t="s">
        <v>102</v>
      </c>
      <c r="C44" s="17" t="s">
        <v>110</v>
      </c>
      <c r="D44" s="14" t="s">
        <v>1184</v>
      </c>
      <c r="E44" s="14" t="s">
        <v>1185</v>
      </c>
      <c r="F44" s="14" t="s">
        <v>1186</v>
      </c>
      <c r="G44" s="15">
        <v>4.5999999999999996</v>
      </c>
      <c r="H44" s="15">
        <v>20.6</v>
      </c>
      <c r="I44" s="18" t="s">
        <v>17</v>
      </c>
    </row>
    <row r="45" spans="1:9" ht="12.5">
      <c r="A45" s="14">
        <v>2330938</v>
      </c>
      <c r="B45" s="14" t="s">
        <v>102</v>
      </c>
      <c r="C45" s="14" t="s">
        <v>106</v>
      </c>
      <c r="D45" s="14" t="s">
        <v>1187</v>
      </c>
      <c r="E45" s="14" t="s">
        <v>1188</v>
      </c>
      <c r="F45" s="14" t="s">
        <v>1189</v>
      </c>
      <c r="G45" s="15">
        <v>4.34</v>
      </c>
      <c r="H45" s="15">
        <v>8.6999999999999993</v>
      </c>
      <c r="I45" s="14" t="s">
        <v>21</v>
      </c>
    </row>
    <row r="46" spans="1:9" ht="12.5">
      <c r="A46" s="16">
        <v>2029742</v>
      </c>
      <c r="B46" s="17" t="s">
        <v>102</v>
      </c>
      <c r="C46" s="17" t="s">
        <v>110</v>
      </c>
      <c r="D46" s="14" t="s">
        <v>1190</v>
      </c>
      <c r="E46" s="14" t="s">
        <v>1191</v>
      </c>
      <c r="F46" s="14" t="s">
        <v>1192</v>
      </c>
      <c r="G46" s="15">
        <v>4.6100000000000003</v>
      </c>
      <c r="H46" s="15">
        <v>3.2</v>
      </c>
      <c r="I46" s="18" t="s">
        <v>17</v>
      </c>
    </row>
    <row r="47" spans="1:9" ht="12.5">
      <c r="A47" s="16">
        <v>2008972</v>
      </c>
      <c r="B47" s="17" t="s">
        <v>102</v>
      </c>
      <c r="C47" s="17" t="s">
        <v>103</v>
      </c>
      <c r="D47" s="14" t="s">
        <v>1193</v>
      </c>
      <c r="E47" s="14" t="s">
        <v>1194</v>
      </c>
      <c r="F47" s="14" t="s">
        <v>1195</v>
      </c>
      <c r="G47" s="15">
        <v>4.47</v>
      </c>
      <c r="H47" s="15">
        <v>44.6</v>
      </c>
      <c r="I47" s="18" t="s">
        <v>17</v>
      </c>
    </row>
    <row r="48" spans="1:9" ht="12.5">
      <c r="A48" s="16">
        <v>1229104</v>
      </c>
      <c r="B48" s="17" t="s">
        <v>102</v>
      </c>
      <c r="C48" s="17" t="s">
        <v>110</v>
      </c>
      <c r="D48" s="14" t="s">
        <v>1196</v>
      </c>
      <c r="E48" s="14" t="s">
        <v>1197</v>
      </c>
      <c r="F48" s="14" t="s">
        <v>1186</v>
      </c>
      <c r="G48" s="15">
        <v>4.54</v>
      </c>
      <c r="H48" s="15">
        <v>11.6</v>
      </c>
      <c r="I48" s="18" t="s">
        <v>21</v>
      </c>
    </row>
    <row r="49" spans="1:9" ht="12.5">
      <c r="A49" s="16">
        <v>1611640</v>
      </c>
      <c r="B49" s="17" t="s">
        <v>102</v>
      </c>
      <c r="C49" s="17" t="s">
        <v>110</v>
      </c>
      <c r="D49" s="14" t="s">
        <v>1198</v>
      </c>
      <c r="E49" s="14" t="s">
        <v>1199</v>
      </c>
      <c r="F49" s="14" t="s">
        <v>1186</v>
      </c>
      <c r="G49" s="15">
        <v>4.6900000000000004</v>
      </c>
      <c r="H49" s="15">
        <v>21.5</v>
      </c>
      <c r="I49" s="18" t="s">
        <v>17</v>
      </c>
    </row>
    <row r="50" spans="1:9" ht="12.5">
      <c r="A50" s="16">
        <v>2787006</v>
      </c>
      <c r="B50" s="17" t="s">
        <v>102</v>
      </c>
      <c r="C50" s="17" t="s">
        <v>116</v>
      </c>
      <c r="D50" s="14" t="s">
        <v>1200</v>
      </c>
      <c r="E50" s="14" t="s">
        <v>1201</v>
      </c>
      <c r="F50" s="14" t="s">
        <v>1202</v>
      </c>
      <c r="G50" s="15">
        <v>4.29</v>
      </c>
      <c r="H50" s="15">
        <v>17.600000000000001</v>
      </c>
      <c r="I50" s="18" t="s">
        <v>17</v>
      </c>
    </row>
    <row r="51" spans="1:9" ht="12.5">
      <c r="A51" s="16">
        <v>1918966</v>
      </c>
      <c r="B51" s="17" t="s">
        <v>102</v>
      </c>
      <c r="C51" s="17" t="s">
        <v>116</v>
      </c>
      <c r="D51" s="14" t="s">
        <v>1203</v>
      </c>
      <c r="E51" s="14" t="s">
        <v>1204</v>
      </c>
      <c r="F51" s="14" t="s">
        <v>1205</v>
      </c>
      <c r="G51" s="15">
        <v>4.3499999999999996</v>
      </c>
      <c r="H51" s="15">
        <v>3.7</v>
      </c>
      <c r="I51" s="18" t="s">
        <v>21</v>
      </c>
    </row>
    <row r="52" spans="1:9" ht="12.5">
      <c r="A52" s="16">
        <v>1774266</v>
      </c>
      <c r="B52" s="17" t="s">
        <v>102</v>
      </c>
      <c r="C52" s="17" t="s">
        <v>110</v>
      </c>
      <c r="D52" s="14" t="s">
        <v>1206</v>
      </c>
      <c r="E52" s="14" t="s">
        <v>1207</v>
      </c>
      <c r="F52" s="14" t="s">
        <v>1208</v>
      </c>
      <c r="G52" s="15">
        <v>4.0199999999999996</v>
      </c>
      <c r="H52" s="15">
        <v>4.8</v>
      </c>
      <c r="I52" s="18" t="s">
        <v>17</v>
      </c>
    </row>
    <row r="53" spans="1:9" ht="12.5">
      <c r="A53" s="16">
        <v>912660</v>
      </c>
      <c r="B53" s="17" t="s">
        <v>102</v>
      </c>
      <c r="C53" s="17" t="s">
        <v>116</v>
      </c>
      <c r="D53" s="14" t="s">
        <v>1209</v>
      </c>
      <c r="E53" s="14" t="s">
        <v>1210</v>
      </c>
      <c r="F53" s="14" t="s">
        <v>1211</v>
      </c>
      <c r="G53" s="15">
        <v>4.4400000000000004</v>
      </c>
      <c r="H53" s="15">
        <v>2.2000000000000002</v>
      </c>
      <c r="I53" s="18" t="s">
        <v>17</v>
      </c>
    </row>
    <row r="54" spans="1:9" ht="12.5">
      <c r="A54" s="14">
        <v>2168682</v>
      </c>
      <c r="B54" s="14" t="s">
        <v>102</v>
      </c>
      <c r="C54" s="14" t="s">
        <v>110</v>
      </c>
      <c r="D54" s="14" t="s">
        <v>1212</v>
      </c>
      <c r="E54" s="14" t="s">
        <v>1213</v>
      </c>
      <c r="F54" s="14" t="s">
        <v>1214</v>
      </c>
      <c r="G54" s="15">
        <v>4.4400000000000004</v>
      </c>
      <c r="H54" s="15">
        <v>3.9</v>
      </c>
      <c r="I54" s="14" t="s">
        <v>17</v>
      </c>
    </row>
    <row r="55" spans="1:9" ht="12.5">
      <c r="A55" s="16">
        <v>819560</v>
      </c>
      <c r="B55" s="17" t="s">
        <v>102</v>
      </c>
      <c r="C55" s="17" t="s">
        <v>116</v>
      </c>
      <c r="D55" s="14" t="s">
        <v>1215</v>
      </c>
      <c r="E55" s="14" t="s">
        <v>1216</v>
      </c>
      <c r="F55" s="14" t="s">
        <v>1217</v>
      </c>
      <c r="G55" s="15">
        <v>4.53</v>
      </c>
      <c r="H55" s="15">
        <v>2.7</v>
      </c>
      <c r="I55" s="18" t="s">
        <v>17</v>
      </c>
    </row>
    <row r="56" spans="1:9" ht="12.5">
      <c r="A56" s="16">
        <v>1916916</v>
      </c>
      <c r="B56" s="14" t="s">
        <v>102</v>
      </c>
      <c r="C56" s="17" t="s">
        <v>106</v>
      </c>
      <c r="D56" s="14" t="s">
        <v>1218</v>
      </c>
      <c r="E56" s="14" t="s">
        <v>1219</v>
      </c>
      <c r="F56" s="14" t="s">
        <v>1220</v>
      </c>
      <c r="G56" s="15">
        <v>4.26</v>
      </c>
      <c r="H56" s="15">
        <v>1.9</v>
      </c>
      <c r="I56" s="18" t="s">
        <v>17</v>
      </c>
    </row>
    <row r="57" spans="1:9" ht="12.5">
      <c r="A57" s="14">
        <v>1889652</v>
      </c>
      <c r="B57" s="14" t="s">
        <v>102</v>
      </c>
      <c r="C57" s="14" t="s">
        <v>110</v>
      </c>
      <c r="D57" s="14" t="s">
        <v>1221</v>
      </c>
      <c r="E57" s="14" t="s">
        <v>1222</v>
      </c>
      <c r="F57" s="14" t="s">
        <v>1223</v>
      </c>
      <c r="G57" s="15">
        <v>4.0599999999999996</v>
      </c>
      <c r="H57" s="15">
        <v>1</v>
      </c>
      <c r="I57" s="14" t="s">
        <v>17</v>
      </c>
    </row>
    <row r="58" spans="1:9" ht="12.5">
      <c r="A58" s="14">
        <v>1183414</v>
      </c>
      <c r="B58" s="14" t="s">
        <v>102</v>
      </c>
      <c r="C58" s="14" t="s">
        <v>110</v>
      </c>
      <c r="D58" s="14" t="s">
        <v>1224</v>
      </c>
      <c r="E58" s="14" t="s">
        <v>1225</v>
      </c>
      <c r="F58" s="14" t="s">
        <v>1186</v>
      </c>
      <c r="G58" s="19">
        <v>4.51</v>
      </c>
      <c r="H58" s="15">
        <v>7.8</v>
      </c>
      <c r="I58" s="14" t="s">
        <v>21</v>
      </c>
    </row>
    <row r="59" spans="1:9" ht="12.5">
      <c r="A59" s="14">
        <v>1241046</v>
      </c>
      <c r="B59" s="14" t="s">
        <v>102</v>
      </c>
      <c r="C59" s="14" t="s">
        <v>116</v>
      </c>
      <c r="D59" s="17" t="s">
        <v>1226</v>
      </c>
      <c r="E59" s="14" t="s">
        <v>1227</v>
      </c>
      <c r="F59" s="14" t="s">
        <v>1186</v>
      </c>
      <c r="G59" s="15">
        <v>4.3899999999999997</v>
      </c>
      <c r="H59" s="15">
        <v>5.2</v>
      </c>
      <c r="I59" s="14" t="s">
        <v>21</v>
      </c>
    </row>
    <row r="60" spans="1:9" ht="12.5">
      <c r="A60" s="14">
        <v>543036</v>
      </c>
      <c r="B60" s="14" t="s">
        <v>102</v>
      </c>
      <c r="C60" s="14" t="s">
        <v>116</v>
      </c>
      <c r="D60" s="14" t="s">
        <v>1228</v>
      </c>
      <c r="E60" s="14" t="s">
        <v>1229</v>
      </c>
      <c r="F60" s="14" t="s">
        <v>1230</v>
      </c>
      <c r="G60" s="15">
        <v>4.67</v>
      </c>
      <c r="H60" s="15">
        <v>1.4</v>
      </c>
      <c r="I60" s="18" t="s">
        <v>17</v>
      </c>
    </row>
    <row r="61" spans="1:9" ht="12.5">
      <c r="A61" s="14">
        <v>2181366</v>
      </c>
      <c r="B61" s="14" t="s">
        <v>102</v>
      </c>
      <c r="C61" s="14" t="s">
        <v>116</v>
      </c>
      <c r="D61" s="14" t="s">
        <v>1231</v>
      </c>
      <c r="E61" s="14" t="s">
        <v>1232</v>
      </c>
      <c r="F61" s="14" t="s">
        <v>1233</v>
      </c>
      <c r="G61" s="15">
        <v>4.59</v>
      </c>
      <c r="H61" s="15">
        <v>8.4</v>
      </c>
      <c r="I61" s="14" t="s">
        <v>21</v>
      </c>
    </row>
    <row r="62" spans="1:9" ht="12.5">
      <c r="A62" s="16">
        <v>2753434</v>
      </c>
      <c r="B62" s="17" t="s">
        <v>102</v>
      </c>
      <c r="C62" s="17" t="s">
        <v>116</v>
      </c>
      <c r="D62" s="14" t="s">
        <v>1234</v>
      </c>
      <c r="E62" s="14" t="s">
        <v>1234</v>
      </c>
      <c r="F62" s="14" t="s">
        <v>1235</v>
      </c>
      <c r="G62" s="15">
        <v>3.98</v>
      </c>
      <c r="H62" s="15">
        <v>2.8</v>
      </c>
      <c r="I62" s="18" t="s">
        <v>17</v>
      </c>
    </row>
    <row r="63" spans="1:9" ht="12.5">
      <c r="A63" s="16">
        <v>1473804</v>
      </c>
      <c r="B63" s="17" t="s">
        <v>102</v>
      </c>
      <c r="C63" s="17" t="s">
        <v>116</v>
      </c>
      <c r="D63" s="14" t="s">
        <v>1236</v>
      </c>
      <c r="E63" s="14" t="s">
        <v>1237</v>
      </c>
      <c r="F63" s="14" t="s">
        <v>1186</v>
      </c>
      <c r="G63" s="15">
        <v>4.4400000000000004</v>
      </c>
      <c r="H63" s="15">
        <v>9.4</v>
      </c>
      <c r="I63" s="18" t="s">
        <v>17</v>
      </c>
    </row>
    <row r="64" spans="1:9" ht="12.5">
      <c r="A64" s="16">
        <v>213670</v>
      </c>
      <c r="B64" s="17" t="s">
        <v>102</v>
      </c>
      <c r="C64" s="17" t="s">
        <v>116</v>
      </c>
      <c r="D64" s="14" t="s">
        <v>1238</v>
      </c>
      <c r="E64" s="14" t="s">
        <v>1238</v>
      </c>
      <c r="F64" s="14" t="s">
        <v>1235</v>
      </c>
      <c r="G64" s="15">
        <v>4.1399999999999997</v>
      </c>
      <c r="H64" s="15">
        <v>14.7</v>
      </c>
      <c r="I64" s="18" t="s">
        <v>21</v>
      </c>
    </row>
    <row r="65" spans="1:9" ht="12.5">
      <c r="A65" s="16">
        <v>760520</v>
      </c>
      <c r="B65" s="14" t="s">
        <v>102</v>
      </c>
      <c r="C65" s="17" t="s">
        <v>116</v>
      </c>
      <c r="D65" s="14" t="s">
        <v>1239</v>
      </c>
      <c r="E65" s="14" t="s">
        <v>1240</v>
      </c>
      <c r="F65" s="14" t="s">
        <v>1241</v>
      </c>
      <c r="G65" s="15">
        <v>4.71</v>
      </c>
      <c r="H65" s="15">
        <v>3.4</v>
      </c>
      <c r="I65" s="18" t="s">
        <v>21</v>
      </c>
    </row>
    <row r="66" spans="1:9" ht="12.5">
      <c r="A66" s="16">
        <v>2309846</v>
      </c>
      <c r="B66" s="17" t="s">
        <v>102</v>
      </c>
      <c r="C66" s="17" t="s">
        <v>106</v>
      </c>
      <c r="D66" s="14" t="s">
        <v>1242</v>
      </c>
      <c r="E66" s="14" t="s">
        <v>1243</v>
      </c>
      <c r="F66" s="14" t="s">
        <v>1195</v>
      </c>
      <c r="G66" s="15">
        <v>4.41</v>
      </c>
      <c r="H66" s="15">
        <v>11.7</v>
      </c>
      <c r="I66" s="18" t="s">
        <v>17</v>
      </c>
    </row>
    <row r="67" spans="1:9" ht="12.5">
      <c r="A67" s="14">
        <v>1767792</v>
      </c>
      <c r="B67" s="14" t="s">
        <v>102</v>
      </c>
      <c r="C67" s="14" t="s">
        <v>110</v>
      </c>
      <c r="D67" s="14" t="s">
        <v>1244</v>
      </c>
      <c r="E67" s="14" t="s">
        <v>1245</v>
      </c>
      <c r="F67" s="14" t="s">
        <v>1246</v>
      </c>
      <c r="G67" s="15">
        <v>4.72</v>
      </c>
      <c r="H67" s="15">
        <v>8.1999999999999993</v>
      </c>
      <c r="I67" s="14" t="s">
        <v>17</v>
      </c>
    </row>
    <row r="68" spans="1:9" ht="12.5">
      <c r="A68" s="14">
        <v>2459334</v>
      </c>
      <c r="B68" s="14" t="s">
        <v>102</v>
      </c>
      <c r="C68" s="14" t="s">
        <v>110</v>
      </c>
      <c r="D68" s="14" t="s">
        <v>1247</v>
      </c>
      <c r="E68" s="14" t="s">
        <v>1248</v>
      </c>
      <c r="F68" s="14" t="s">
        <v>1249</v>
      </c>
      <c r="G68" s="15">
        <v>4.3099999999999996</v>
      </c>
      <c r="H68" s="15">
        <v>8.3000000000000007</v>
      </c>
      <c r="I68" s="18" t="s">
        <v>21</v>
      </c>
    </row>
    <row r="69" spans="1:9" ht="12.5">
      <c r="A69" s="16">
        <v>1759662</v>
      </c>
      <c r="B69" s="17" t="s">
        <v>102</v>
      </c>
      <c r="C69" s="17" t="s">
        <v>110</v>
      </c>
      <c r="D69" s="14" t="s">
        <v>1250</v>
      </c>
      <c r="E69" s="14" t="s">
        <v>1251</v>
      </c>
      <c r="F69" s="14" t="s">
        <v>1186</v>
      </c>
      <c r="G69" s="15">
        <v>4.6100000000000003</v>
      </c>
      <c r="H69" s="15">
        <v>10.4</v>
      </c>
      <c r="I69" s="18" t="s">
        <v>17</v>
      </c>
    </row>
    <row r="70" spans="1:9" ht="12.5">
      <c r="A70" s="14">
        <v>1229146</v>
      </c>
      <c r="B70" s="14" t="s">
        <v>102</v>
      </c>
      <c r="C70" s="14" t="s">
        <v>116</v>
      </c>
      <c r="D70" s="14" t="s">
        <v>1252</v>
      </c>
      <c r="E70" s="14" t="s">
        <v>1253</v>
      </c>
      <c r="F70" s="14" t="s">
        <v>1254</v>
      </c>
      <c r="G70" s="15">
        <v>4.08</v>
      </c>
      <c r="H70" s="15">
        <v>10.8</v>
      </c>
      <c r="I70" s="18" t="s">
        <v>21</v>
      </c>
    </row>
    <row r="71" spans="1:9" ht="12.5">
      <c r="A71" s="14">
        <v>2372128</v>
      </c>
      <c r="B71" s="14" t="s">
        <v>102</v>
      </c>
      <c r="C71" s="14" t="s">
        <v>116</v>
      </c>
      <c r="D71" s="14" t="s">
        <v>1255</v>
      </c>
      <c r="E71" s="14" t="s">
        <v>1256</v>
      </c>
      <c r="F71" s="14" t="s">
        <v>1257</v>
      </c>
      <c r="G71" s="15">
        <v>4.0599999999999996</v>
      </c>
      <c r="H71" s="15">
        <v>2.1</v>
      </c>
      <c r="I71" s="14" t="s">
        <v>17</v>
      </c>
    </row>
    <row r="72" spans="1:9" ht="12.5">
      <c r="A72" s="14">
        <v>1239228</v>
      </c>
      <c r="B72" s="14" t="s">
        <v>102</v>
      </c>
      <c r="C72" s="14" t="s">
        <v>103</v>
      </c>
      <c r="D72" s="14" t="s">
        <v>1258</v>
      </c>
      <c r="E72" s="14" t="s">
        <v>1259</v>
      </c>
      <c r="F72" s="14" t="s">
        <v>1260</v>
      </c>
      <c r="G72" s="15">
        <v>4.37</v>
      </c>
      <c r="H72" s="15">
        <v>4.8</v>
      </c>
      <c r="I72" s="14" t="s">
        <v>21</v>
      </c>
    </row>
    <row r="73" spans="1:9" ht="12.5">
      <c r="A73" s="14">
        <v>2540150</v>
      </c>
      <c r="B73" s="14" t="s">
        <v>102</v>
      </c>
      <c r="C73" s="14" t="s">
        <v>116</v>
      </c>
      <c r="D73" s="14" t="s">
        <v>1261</v>
      </c>
      <c r="E73" s="14" t="s">
        <v>1262</v>
      </c>
      <c r="F73" s="14" t="s">
        <v>1263</v>
      </c>
      <c r="G73" s="15">
        <v>4.46</v>
      </c>
      <c r="H73" s="15">
        <v>2.4</v>
      </c>
      <c r="I73" s="14" t="s">
        <v>17</v>
      </c>
    </row>
    <row r="74" spans="1:9" ht="12.5">
      <c r="A74" s="16">
        <v>614926</v>
      </c>
      <c r="B74" s="17" t="s">
        <v>102</v>
      </c>
      <c r="C74" s="17" t="s">
        <v>103</v>
      </c>
      <c r="D74" s="14" t="s">
        <v>1264</v>
      </c>
      <c r="E74" s="14" t="s">
        <v>1265</v>
      </c>
      <c r="F74" s="14" t="s">
        <v>1266</v>
      </c>
      <c r="G74" s="15">
        <v>4.74</v>
      </c>
      <c r="H74" s="15">
        <v>9.6</v>
      </c>
      <c r="I74" s="18" t="s">
        <v>21</v>
      </c>
    </row>
    <row r="75" spans="1:9" ht="12.5">
      <c r="A75" s="14">
        <v>1576436</v>
      </c>
      <c r="B75" s="14" t="s">
        <v>102</v>
      </c>
      <c r="C75" s="14" t="s">
        <v>116</v>
      </c>
      <c r="D75" s="14" t="s">
        <v>1267</v>
      </c>
      <c r="E75" s="14" t="s">
        <v>1268</v>
      </c>
      <c r="F75" s="14" t="s">
        <v>1202</v>
      </c>
      <c r="G75" s="15">
        <v>4.5999999999999996</v>
      </c>
      <c r="H75" s="15">
        <v>10.8</v>
      </c>
      <c r="I75" s="18" t="s">
        <v>17</v>
      </c>
    </row>
    <row r="76" spans="1:9" ht="12.5">
      <c r="A76" s="14">
        <v>2469074</v>
      </c>
      <c r="B76" s="14" t="s">
        <v>102</v>
      </c>
      <c r="C76" s="14" t="s">
        <v>192</v>
      </c>
      <c r="D76" s="14" t="s">
        <v>1269</v>
      </c>
      <c r="E76" s="14" t="s">
        <v>1270</v>
      </c>
      <c r="F76" s="14" t="s">
        <v>1271</v>
      </c>
      <c r="G76" s="15">
        <v>4.67</v>
      </c>
      <c r="H76" s="15">
        <v>10.5</v>
      </c>
      <c r="I76" s="14" t="s">
        <v>72</v>
      </c>
    </row>
    <row r="77" spans="1:9" ht="12.5">
      <c r="A77" s="14">
        <v>1379740</v>
      </c>
      <c r="B77" s="14" t="s">
        <v>102</v>
      </c>
      <c r="C77" s="14" t="s">
        <v>116</v>
      </c>
      <c r="D77" s="14" t="s">
        <v>1272</v>
      </c>
      <c r="E77" s="14" t="s">
        <v>1273</v>
      </c>
      <c r="F77" s="14" t="s">
        <v>1274</v>
      </c>
      <c r="G77" s="15">
        <v>3.9</v>
      </c>
      <c r="H77" s="15">
        <v>12</v>
      </c>
      <c r="I77" s="14" t="s">
        <v>17</v>
      </c>
    </row>
    <row r="78" spans="1:9" ht="12.5">
      <c r="A78" s="14">
        <v>464842</v>
      </c>
      <c r="B78" s="14" t="s">
        <v>102</v>
      </c>
      <c r="C78" s="14" t="s">
        <v>192</v>
      </c>
      <c r="D78" s="17" t="s">
        <v>1275</v>
      </c>
      <c r="E78" s="14" t="s">
        <v>1276</v>
      </c>
      <c r="F78" s="14" t="s">
        <v>1271</v>
      </c>
      <c r="G78" s="15">
        <v>4.2300000000000004</v>
      </c>
      <c r="H78" s="15">
        <v>7.3</v>
      </c>
      <c r="I78" s="14" t="s">
        <v>21</v>
      </c>
    </row>
    <row r="79" spans="1:9" ht="12.5">
      <c r="A79" s="16">
        <v>1388924</v>
      </c>
      <c r="B79" s="14" t="s">
        <v>102</v>
      </c>
      <c r="C79" s="17" t="s">
        <v>103</v>
      </c>
      <c r="D79" s="14" t="s">
        <v>1277</v>
      </c>
      <c r="E79" s="14" t="s">
        <v>1278</v>
      </c>
      <c r="F79" s="14" t="s">
        <v>1195</v>
      </c>
      <c r="G79" s="15">
        <v>4.66</v>
      </c>
      <c r="H79" s="15">
        <v>11.4</v>
      </c>
      <c r="I79" s="18" t="s">
        <v>21</v>
      </c>
    </row>
    <row r="80" spans="1:9" ht="12.5">
      <c r="A80" s="14">
        <v>3507178</v>
      </c>
      <c r="B80" s="14" t="s">
        <v>102</v>
      </c>
      <c r="C80" s="14" t="s">
        <v>116</v>
      </c>
      <c r="D80" s="14" t="s">
        <v>1279</v>
      </c>
      <c r="E80" s="14" t="s">
        <v>1280</v>
      </c>
      <c r="F80" s="14" t="s">
        <v>1186</v>
      </c>
      <c r="G80" s="15">
        <v>4.43</v>
      </c>
      <c r="H80" s="15">
        <v>4.2</v>
      </c>
      <c r="I80" s="14" t="s">
        <v>17</v>
      </c>
    </row>
    <row r="81" spans="1:9" ht="12.5">
      <c r="A81" s="14">
        <v>2529774</v>
      </c>
      <c r="B81" s="14" t="s">
        <v>102</v>
      </c>
      <c r="C81" s="14" t="s">
        <v>110</v>
      </c>
      <c r="D81" s="14" t="s">
        <v>1281</v>
      </c>
      <c r="E81" s="14" t="s">
        <v>1282</v>
      </c>
      <c r="F81" s="14" t="s">
        <v>1195</v>
      </c>
      <c r="G81" s="15">
        <v>4.3</v>
      </c>
      <c r="H81" s="15">
        <v>10.199999999999999</v>
      </c>
      <c r="I81" s="14" t="s">
        <v>17</v>
      </c>
    </row>
    <row r="82" spans="1:9" ht="12.5">
      <c r="A82" s="16">
        <v>1108054</v>
      </c>
      <c r="B82" s="14" t="s">
        <v>102</v>
      </c>
      <c r="C82" s="17" t="s">
        <v>116</v>
      </c>
      <c r="D82" s="14" t="s">
        <v>1283</v>
      </c>
      <c r="E82" s="14" t="s">
        <v>1284</v>
      </c>
      <c r="F82" s="14" t="s">
        <v>1285</v>
      </c>
      <c r="G82" s="15">
        <v>4.71</v>
      </c>
      <c r="H82" s="15">
        <v>7.3</v>
      </c>
      <c r="I82" s="18" t="s">
        <v>17</v>
      </c>
    </row>
    <row r="83" spans="1:9" ht="12.5">
      <c r="A83" s="16">
        <v>1833134</v>
      </c>
      <c r="B83" s="14" t="s">
        <v>102</v>
      </c>
      <c r="C83" s="17" t="s">
        <v>192</v>
      </c>
      <c r="D83" s="14" t="s">
        <v>1286</v>
      </c>
      <c r="E83" s="14" t="s">
        <v>1287</v>
      </c>
      <c r="F83" s="14" t="s">
        <v>1235</v>
      </c>
      <c r="G83" s="15">
        <v>4.37</v>
      </c>
      <c r="H83" s="15">
        <v>4.9000000000000004</v>
      </c>
      <c r="I83" s="18" t="s">
        <v>21</v>
      </c>
    </row>
    <row r="84" spans="1:9" ht="12.5">
      <c r="A84" s="14">
        <v>2508750</v>
      </c>
      <c r="B84" s="14" t="s">
        <v>102</v>
      </c>
      <c r="C84" s="14" t="s">
        <v>192</v>
      </c>
      <c r="D84" s="17" t="s">
        <v>1288</v>
      </c>
      <c r="E84" s="14" t="s">
        <v>1289</v>
      </c>
      <c r="F84" s="14" t="s">
        <v>1202</v>
      </c>
      <c r="G84" s="19">
        <v>4.6100000000000003</v>
      </c>
      <c r="H84" s="15">
        <v>11</v>
      </c>
      <c r="I84" s="14" t="s">
        <v>17</v>
      </c>
    </row>
    <row r="85" spans="1:9" ht="12.5">
      <c r="A85" s="14">
        <v>2117294</v>
      </c>
      <c r="B85" s="14" t="s">
        <v>102</v>
      </c>
      <c r="C85" s="14" t="s">
        <v>192</v>
      </c>
      <c r="D85" s="14" t="s">
        <v>1290</v>
      </c>
      <c r="E85" s="14" t="s">
        <v>1290</v>
      </c>
      <c r="F85" s="14" t="s">
        <v>1271</v>
      </c>
      <c r="G85" s="19">
        <v>4.67</v>
      </c>
      <c r="H85" s="15">
        <v>14.3</v>
      </c>
      <c r="I85" s="14" t="s">
        <v>21</v>
      </c>
    </row>
    <row r="86" spans="1:9" ht="12.5">
      <c r="A86" s="16">
        <v>1514132</v>
      </c>
      <c r="B86" s="17" t="s">
        <v>102</v>
      </c>
      <c r="C86" s="17" t="s">
        <v>110</v>
      </c>
      <c r="D86" s="14" t="s">
        <v>1291</v>
      </c>
      <c r="E86" s="14" t="s">
        <v>1292</v>
      </c>
      <c r="F86" s="14" t="s">
        <v>1271</v>
      </c>
      <c r="G86" s="15">
        <v>4.76</v>
      </c>
      <c r="H86" s="15">
        <v>6</v>
      </c>
      <c r="I86" s="18" t="s">
        <v>72</v>
      </c>
    </row>
    <row r="87" spans="1:9" ht="12.5">
      <c r="A87" s="14">
        <v>587086</v>
      </c>
      <c r="B87" s="14" t="s">
        <v>102</v>
      </c>
      <c r="C87" s="14" t="s">
        <v>116</v>
      </c>
      <c r="D87" s="14" t="s">
        <v>1293</v>
      </c>
      <c r="E87" s="14" t="s">
        <v>1293</v>
      </c>
      <c r="F87" s="14" t="s">
        <v>1294</v>
      </c>
      <c r="G87" s="15">
        <v>4.22</v>
      </c>
      <c r="H87" s="15">
        <v>5.3</v>
      </c>
      <c r="I87" s="14" t="s">
        <v>17</v>
      </c>
    </row>
    <row r="88" spans="1:9" ht="12.5">
      <c r="A88" s="16">
        <v>3538960</v>
      </c>
      <c r="B88" s="17" t="s">
        <v>102</v>
      </c>
      <c r="C88" s="17" t="s">
        <v>116</v>
      </c>
      <c r="D88" s="14" t="s">
        <v>1295</v>
      </c>
      <c r="E88" s="14" t="s">
        <v>1296</v>
      </c>
      <c r="F88" s="14" t="s">
        <v>1297</v>
      </c>
      <c r="G88" s="15">
        <v>4.5</v>
      </c>
      <c r="H88" s="15">
        <v>3.7</v>
      </c>
      <c r="I88" s="18" t="s">
        <v>21</v>
      </c>
    </row>
    <row r="89" spans="1:9" ht="12.5">
      <c r="A89" s="14">
        <v>1759390</v>
      </c>
      <c r="B89" s="14" t="s">
        <v>225</v>
      </c>
      <c r="C89" s="14" t="s">
        <v>235</v>
      </c>
      <c r="D89" s="14" t="s">
        <v>1298</v>
      </c>
      <c r="E89" s="14" t="s">
        <v>1298</v>
      </c>
      <c r="F89" s="14" t="s">
        <v>1299</v>
      </c>
      <c r="G89" s="15">
        <v>3.87</v>
      </c>
      <c r="H89" s="15">
        <v>3.3</v>
      </c>
      <c r="I89" s="14" t="s">
        <v>17</v>
      </c>
    </row>
    <row r="90" spans="1:9" ht="12.5">
      <c r="A90" s="16">
        <v>1019810</v>
      </c>
      <c r="B90" s="17" t="s">
        <v>225</v>
      </c>
      <c r="C90" s="17" t="s">
        <v>226</v>
      </c>
      <c r="D90" s="14" t="s">
        <v>1300</v>
      </c>
      <c r="E90" s="14" t="s">
        <v>1301</v>
      </c>
      <c r="F90" s="14" t="s">
        <v>1302</v>
      </c>
      <c r="G90" s="15">
        <v>4.54</v>
      </c>
      <c r="H90" s="15">
        <v>33.9</v>
      </c>
      <c r="I90" s="18" t="s">
        <v>17</v>
      </c>
    </row>
    <row r="91" spans="1:9" ht="12.5">
      <c r="A91" s="14">
        <v>2666274</v>
      </c>
      <c r="B91" s="14" t="s">
        <v>225</v>
      </c>
      <c r="C91" s="14" t="s">
        <v>229</v>
      </c>
      <c r="D91" s="14" t="s">
        <v>1303</v>
      </c>
      <c r="E91" s="14" t="s">
        <v>1304</v>
      </c>
      <c r="F91" s="14" t="s">
        <v>1109</v>
      </c>
      <c r="G91" s="15">
        <v>4.41</v>
      </c>
      <c r="H91" s="15">
        <v>6.6</v>
      </c>
      <c r="I91" s="14" t="s">
        <v>17</v>
      </c>
    </row>
    <row r="92" spans="1:9" ht="12.5">
      <c r="A92" s="16">
        <v>2402800</v>
      </c>
      <c r="B92" s="17" t="s">
        <v>225</v>
      </c>
      <c r="C92" s="17" t="s">
        <v>235</v>
      </c>
      <c r="D92" s="14" t="s">
        <v>1305</v>
      </c>
      <c r="E92" s="14" t="s">
        <v>1306</v>
      </c>
      <c r="F92" s="14" t="s">
        <v>1106</v>
      </c>
      <c r="G92" s="15">
        <v>4.53</v>
      </c>
      <c r="H92" s="15">
        <v>36.700000000000003</v>
      </c>
      <c r="I92" s="18" t="s">
        <v>17</v>
      </c>
    </row>
    <row r="93" spans="1:9" ht="12.5">
      <c r="A93" s="14">
        <v>719552</v>
      </c>
      <c r="B93" s="14" t="s">
        <v>225</v>
      </c>
      <c r="C93" s="14" t="s">
        <v>226</v>
      </c>
      <c r="D93" s="14" t="s">
        <v>1307</v>
      </c>
      <c r="E93" s="14" t="s">
        <v>1308</v>
      </c>
      <c r="F93" s="14" t="s">
        <v>1100</v>
      </c>
      <c r="G93" s="15">
        <v>4.46</v>
      </c>
      <c r="H93" s="15">
        <v>7.9</v>
      </c>
      <c r="I93" s="14" t="s">
        <v>17</v>
      </c>
    </row>
    <row r="94" spans="1:9" ht="12.5">
      <c r="A94" s="16">
        <v>2490720</v>
      </c>
      <c r="B94" s="17" t="s">
        <v>225</v>
      </c>
      <c r="C94" s="17" t="s">
        <v>229</v>
      </c>
      <c r="D94" s="14" t="s">
        <v>1309</v>
      </c>
      <c r="E94" s="14" t="s">
        <v>1310</v>
      </c>
      <c r="F94" s="14" t="s">
        <v>1109</v>
      </c>
      <c r="G94" s="15">
        <v>4.54</v>
      </c>
      <c r="H94" s="15">
        <v>4.5</v>
      </c>
      <c r="I94" s="18" t="s">
        <v>17</v>
      </c>
    </row>
    <row r="95" spans="1:9" ht="12.5">
      <c r="A95" s="14">
        <v>1603358</v>
      </c>
      <c r="B95" s="14" t="s">
        <v>225</v>
      </c>
      <c r="C95" s="14" t="s">
        <v>226</v>
      </c>
      <c r="D95" s="14" t="s">
        <v>1311</v>
      </c>
      <c r="E95" s="14" t="s">
        <v>1312</v>
      </c>
      <c r="F95" s="14" t="s">
        <v>1274</v>
      </c>
      <c r="G95" s="15">
        <v>4.5199999999999996</v>
      </c>
      <c r="H95" s="15">
        <v>22.3</v>
      </c>
      <c r="I95" s="14" t="s">
        <v>21</v>
      </c>
    </row>
    <row r="96" spans="1:9" ht="12.5">
      <c r="A96" s="16">
        <v>1301816</v>
      </c>
      <c r="B96" s="17" t="s">
        <v>225</v>
      </c>
      <c r="C96" s="17" t="s">
        <v>235</v>
      </c>
      <c r="D96" s="14" t="s">
        <v>1313</v>
      </c>
      <c r="E96" s="14" t="s">
        <v>1314</v>
      </c>
      <c r="F96" s="14" t="s">
        <v>1315</v>
      </c>
      <c r="G96" s="15">
        <v>4.7699999999999996</v>
      </c>
      <c r="H96" s="15">
        <v>32.5</v>
      </c>
      <c r="I96" s="18" t="s">
        <v>21</v>
      </c>
    </row>
    <row r="97" spans="1:9" ht="12.5">
      <c r="A97" s="16">
        <v>2388100</v>
      </c>
      <c r="B97" s="17" t="s">
        <v>225</v>
      </c>
      <c r="C97" s="17" t="s">
        <v>229</v>
      </c>
      <c r="D97" s="14" t="s">
        <v>1316</v>
      </c>
      <c r="E97" s="14" t="s">
        <v>1317</v>
      </c>
      <c r="F97" s="14" t="s">
        <v>1318</v>
      </c>
      <c r="G97" s="15">
        <v>4.37</v>
      </c>
      <c r="H97" s="15">
        <v>3.6</v>
      </c>
      <c r="I97" s="18" t="s">
        <v>21</v>
      </c>
    </row>
    <row r="98" spans="1:9" ht="12.5">
      <c r="A98" s="16">
        <v>1191826</v>
      </c>
      <c r="B98" s="17" t="s">
        <v>225</v>
      </c>
      <c r="C98" s="17" t="s">
        <v>229</v>
      </c>
      <c r="D98" s="14" t="s">
        <v>1319</v>
      </c>
      <c r="E98" s="14" t="s">
        <v>1320</v>
      </c>
      <c r="F98" s="14" t="s">
        <v>1321</v>
      </c>
      <c r="G98" s="15">
        <v>4.41</v>
      </c>
      <c r="H98" s="15">
        <v>1.8</v>
      </c>
      <c r="I98" s="18" t="s">
        <v>17</v>
      </c>
    </row>
    <row r="99" spans="1:9" ht="12.5">
      <c r="A99" s="14">
        <v>788298</v>
      </c>
      <c r="B99" s="14" t="s">
        <v>225</v>
      </c>
      <c r="C99" s="14" t="s">
        <v>226</v>
      </c>
      <c r="D99" s="14" t="s">
        <v>1322</v>
      </c>
      <c r="E99" s="14" t="s">
        <v>1323</v>
      </c>
      <c r="F99" s="14" t="s">
        <v>1324</v>
      </c>
      <c r="G99" s="15">
        <v>4.41</v>
      </c>
      <c r="H99" s="15">
        <v>4</v>
      </c>
      <c r="I99" s="18" t="s">
        <v>17</v>
      </c>
    </row>
    <row r="100" spans="1:9" ht="12.5">
      <c r="A100" s="14">
        <v>2365286</v>
      </c>
      <c r="B100" s="14" t="s">
        <v>225</v>
      </c>
      <c r="C100" s="14" t="s">
        <v>226</v>
      </c>
      <c r="D100" s="14" t="s">
        <v>1325</v>
      </c>
      <c r="E100" s="14" t="s">
        <v>1326</v>
      </c>
      <c r="F100" s="14" t="s">
        <v>1274</v>
      </c>
      <c r="G100" s="15">
        <v>4.54</v>
      </c>
      <c r="H100" s="15">
        <v>20.5</v>
      </c>
      <c r="I100" s="14" t="s">
        <v>21</v>
      </c>
    </row>
    <row r="101" spans="1:9" ht="12.5">
      <c r="A101" s="14">
        <v>2974624</v>
      </c>
      <c r="B101" s="14" t="s">
        <v>225</v>
      </c>
      <c r="C101" s="14" t="s">
        <v>226</v>
      </c>
      <c r="D101" s="14" t="s">
        <v>1327</v>
      </c>
      <c r="E101" s="14" t="s">
        <v>1328</v>
      </c>
      <c r="F101" s="14" t="s">
        <v>1117</v>
      </c>
      <c r="G101" s="15">
        <v>4.58</v>
      </c>
      <c r="H101" s="15">
        <v>19.8</v>
      </c>
      <c r="I101" s="14" t="s">
        <v>72</v>
      </c>
    </row>
    <row r="102" spans="1:9" ht="12.5">
      <c r="A102" s="16">
        <v>1009096</v>
      </c>
      <c r="B102" s="14" t="s">
        <v>225</v>
      </c>
      <c r="C102" s="14" t="s">
        <v>235</v>
      </c>
      <c r="D102" s="14" t="s">
        <v>1329</v>
      </c>
      <c r="E102" s="14" t="s">
        <v>1330</v>
      </c>
      <c r="F102" s="14" t="s">
        <v>1331</v>
      </c>
      <c r="G102" s="15">
        <v>4.4800000000000004</v>
      </c>
      <c r="H102" s="15">
        <v>12.9</v>
      </c>
      <c r="I102" s="18" t="s">
        <v>21</v>
      </c>
    </row>
    <row r="103" spans="1:9" ht="12.5">
      <c r="A103" s="16">
        <v>1551418</v>
      </c>
      <c r="B103" s="17" t="s">
        <v>225</v>
      </c>
      <c r="C103" s="17" t="s">
        <v>226</v>
      </c>
      <c r="D103" s="14" t="s">
        <v>1332</v>
      </c>
      <c r="E103" s="14" t="s">
        <v>1333</v>
      </c>
      <c r="F103" s="14" t="s">
        <v>1117</v>
      </c>
      <c r="G103" s="15">
        <v>4.62</v>
      </c>
      <c r="H103" s="15">
        <v>31.4</v>
      </c>
      <c r="I103" s="18" t="s">
        <v>21</v>
      </c>
    </row>
    <row r="104" spans="1:9" ht="12.5">
      <c r="A104" s="14">
        <v>792902</v>
      </c>
      <c r="B104" s="14" t="s">
        <v>225</v>
      </c>
      <c r="C104" s="14" t="s">
        <v>235</v>
      </c>
      <c r="D104" s="14" t="s">
        <v>1334</v>
      </c>
      <c r="E104" s="14" t="s">
        <v>1335</v>
      </c>
      <c r="F104" s="14" t="s">
        <v>1274</v>
      </c>
      <c r="G104" s="15">
        <v>4.3899999999999997</v>
      </c>
      <c r="H104" s="15">
        <v>29.4</v>
      </c>
      <c r="I104" s="14" t="s">
        <v>21</v>
      </c>
    </row>
    <row r="105" spans="1:9" ht="12.5">
      <c r="A105" s="16">
        <v>1969484</v>
      </c>
      <c r="B105" s="17" t="s">
        <v>225</v>
      </c>
      <c r="C105" s="17" t="s">
        <v>235</v>
      </c>
      <c r="D105" s="14" t="s">
        <v>1336</v>
      </c>
      <c r="E105" s="14" t="s">
        <v>1337</v>
      </c>
      <c r="F105" s="14" t="s">
        <v>1274</v>
      </c>
      <c r="G105" s="15">
        <v>4.63</v>
      </c>
      <c r="H105" s="15">
        <v>36</v>
      </c>
      <c r="I105" s="18" t="s">
        <v>21</v>
      </c>
    </row>
    <row r="106" spans="1:9" ht="12.5">
      <c r="A106" s="16">
        <v>2975316</v>
      </c>
      <c r="B106" s="17" t="s">
        <v>225</v>
      </c>
      <c r="C106" s="17" t="s">
        <v>1338</v>
      </c>
      <c r="D106" s="14" t="s">
        <v>1339</v>
      </c>
      <c r="E106" s="14" t="s">
        <v>1340</v>
      </c>
      <c r="F106" s="14" t="s">
        <v>1318</v>
      </c>
      <c r="G106" s="15">
        <v>3.18</v>
      </c>
      <c r="H106" s="15">
        <v>1.2</v>
      </c>
      <c r="I106" s="18" t="s">
        <v>72</v>
      </c>
    </row>
    <row r="107" spans="1:9" ht="12.5">
      <c r="A107" s="16">
        <v>1077838</v>
      </c>
      <c r="B107" s="17" t="s">
        <v>225</v>
      </c>
      <c r="C107" s="17" t="s">
        <v>235</v>
      </c>
      <c r="D107" s="14" t="s">
        <v>1341</v>
      </c>
      <c r="E107" s="14" t="s">
        <v>1342</v>
      </c>
      <c r="F107" s="14" t="s">
        <v>1100</v>
      </c>
      <c r="G107" s="15">
        <v>4.46</v>
      </c>
      <c r="H107" s="15">
        <v>14.6</v>
      </c>
      <c r="I107" s="18" t="s">
        <v>17</v>
      </c>
    </row>
    <row r="108" spans="1:9" ht="12.5">
      <c r="A108" s="16">
        <v>610292</v>
      </c>
      <c r="B108" s="17" t="s">
        <v>225</v>
      </c>
      <c r="C108" s="17" t="s">
        <v>226</v>
      </c>
      <c r="D108" s="14" t="s">
        <v>1343</v>
      </c>
      <c r="E108" s="14" t="s">
        <v>1344</v>
      </c>
      <c r="F108" s="14" t="s">
        <v>1345</v>
      </c>
      <c r="G108" s="15">
        <v>4.41</v>
      </c>
      <c r="H108" s="15">
        <v>29.2</v>
      </c>
      <c r="I108" s="18" t="s">
        <v>21</v>
      </c>
    </row>
    <row r="109" spans="1:9" ht="12.5">
      <c r="A109" s="16">
        <v>2791136</v>
      </c>
      <c r="B109" s="17" t="s">
        <v>225</v>
      </c>
      <c r="C109" s="17" t="s">
        <v>229</v>
      </c>
      <c r="D109" s="14" t="s">
        <v>1346</v>
      </c>
      <c r="E109" s="14" t="s">
        <v>1347</v>
      </c>
      <c r="F109" s="14" t="s">
        <v>1348</v>
      </c>
      <c r="G109" s="15">
        <v>4.4800000000000004</v>
      </c>
      <c r="H109" s="15">
        <v>2.7</v>
      </c>
      <c r="I109" s="18" t="s">
        <v>17</v>
      </c>
    </row>
    <row r="110" spans="1:9" ht="12.5">
      <c r="A110" s="16">
        <v>1517150</v>
      </c>
      <c r="B110" s="17" t="s">
        <v>225</v>
      </c>
      <c r="C110" s="17" t="s">
        <v>278</v>
      </c>
      <c r="D110" s="14" t="s">
        <v>1349</v>
      </c>
      <c r="E110" s="14" t="s">
        <v>1350</v>
      </c>
      <c r="F110" s="14" t="s">
        <v>1274</v>
      </c>
      <c r="G110" s="15">
        <v>4.45</v>
      </c>
      <c r="H110" s="15">
        <v>31.4</v>
      </c>
      <c r="I110" s="18" t="s">
        <v>21</v>
      </c>
    </row>
    <row r="111" spans="1:9" ht="12.5">
      <c r="A111" s="16">
        <v>1012816</v>
      </c>
      <c r="B111" s="17" t="s">
        <v>225</v>
      </c>
      <c r="C111" s="17" t="s">
        <v>235</v>
      </c>
      <c r="D111" s="14" t="s">
        <v>1351</v>
      </c>
      <c r="E111" s="14" t="s">
        <v>1352</v>
      </c>
      <c r="F111" s="14" t="s">
        <v>1353</v>
      </c>
      <c r="G111" s="15">
        <v>4.42</v>
      </c>
      <c r="H111" s="15">
        <v>11.5</v>
      </c>
      <c r="I111" s="18" t="s">
        <v>17</v>
      </c>
    </row>
    <row r="112" spans="1:9" ht="12.5">
      <c r="A112" s="16">
        <v>2233408</v>
      </c>
      <c r="B112" s="17" t="s">
        <v>225</v>
      </c>
      <c r="C112" s="17" t="s">
        <v>226</v>
      </c>
      <c r="D112" s="14" t="s">
        <v>1354</v>
      </c>
      <c r="E112" s="14" t="s">
        <v>1355</v>
      </c>
      <c r="F112" s="14" t="s">
        <v>65</v>
      </c>
      <c r="G112" s="15">
        <v>4.5599999999999996</v>
      </c>
      <c r="H112" s="15">
        <v>13.1</v>
      </c>
      <c r="I112" s="18" t="s">
        <v>72</v>
      </c>
    </row>
    <row r="113" spans="1:9" ht="12.5">
      <c r="A113" s="16">
        <v>2188448</v>
      </c>
      <c r="B113" s="17" t="s">
        <v>225</v>
      </c>
      <c r="C113" s="17" t="s">
        <v>226</v>
      </c>
      <c r="D113" s="14" t="s">
        <v>1356</v>
      </c>
      <c r="E113" s="14" t="s">
        <v>1357</v>
      </c>
      <c r="F113" s="14" t="s">
        <v>1274</v>
      </c>
      <c r="G113" s="15">
        <v>4.1900000000000004</v>
      </c>
      <c r="H113" s="15">
        <v>17.3</v>
      </c>
      <c r="I113" s="18" t="s">
        <v>17</v>
      </c>
    </row>
    <row r="114" spans="1:9" ht="12.5">
      <c r="A114" s="14">
        <v>1648202</v>
      </c>
      <c r="B114" s="14" t="s">
        <v>225</v>
      </c>
      <c r="C114" s="14" t="s">
        <v>278</v>
      </c>
      <c r="D114" s="14" t="s">
        <v>1358</v>
      </c>
      <c r="E114" s="14" t="s">
        <v>1359</v>
      </c>
      <c r="F114" s="14" t="s">
        <v>1360</v>
      </c>
      <c r="G114" s="15">
        <v>4.6100000000000003</v>
      </c>
      <c r="H114" s="15">
        <v>9.3000000000000007</v>
      </c>
      <c r="I114" s="14" t="s">
        <v>21</v>
      </c>
    </row>
    <row r="115" spans="1:9" ht="12.5">
      <c r="A115" s="16">
        <v>1500508</v>
      </c>
      <c r="B115" s="17" t="s">
        <v>225</v>
      </c>
      <c r="C115" s="17" t="s">
        <v>235</v>
      </c>
      <c r="D115" s="14" t="s">
        <v>1361</v>
      </c>
      <c r="E115" s="14" t="s">
        <v>1362</v>
      </c>
      <c r="F115" s="14" t="s">
        <v>1363</v>
      </c>
      <c r="G115" s="15">
        <v>4.3600000000000003</v>
      </c>
      <c r="H115" s="15">
        <v>9.6999999999999993</v>
      </c>
      <c r="I115" s="18" t="s">
        <v>17</v>
      </c>
    </row>
    <row r="116" spans="1:9" ht="12.5">
      <c r="A116" s="16">
        <v>3097384</v>
      </c>
      <c r="B116" s="17" t="s">
        <v>225</v>
      </c>
      <c r="C116" s="17" t="s">
        <v>398</v>
      </c>
      <c r="D116" s="17" t="s">
        <v>1364</v>
      </c>
      <c r="E116" s="14" t="s">
        <v>1365</v>
      </c>
      <c r="F116" s="14" t="s">
        <v>1366</v>
      </c>
      <c r="G116" s="15">
        <v>4.62</v>
      </c>
      <c r="H116" s="15">
        <v>35.9</v>
      </c>
      <c r="I116" s="18" t="s">
        <v>21</v>
      </c>
    </row>
    <row r="117" spans="1:9" ht="12.5">
      <c r="A117" s="16">
        <v>2096160</v>
      </c>
      <c r="B117" s="14" t="s">
        <v>225</v>
      </c>
      <c r="C117" s="17" t="s">
        <v>235</v>
      </c>
      <c r="D117" s="14" t="s">
        <v>1367</v>
      </c>
      <c r="E117" s="14" t="s">
        <v>1368</v>
      </c>
      <c r="F117" s="14" t="s">
        <v>1117</v>
      </c>
      <c r="G117" s="15">
        <v>4.68</v>
      </c>
      <c r="H117" s="15">
        <v>17.2</v>
      </c>
      <c r="I117" s="18" t="s">
        <v>17</v>
      </c>
    </row>
    <row r="118" spans="1:9" ht="12.5">
      <c r="A118" s="16">
        <v>1209860</v>
      </c>
      <c r="B118" s="14" t="s">
        <v>225</v>
      </c>
      <c r="C118" s="17" t="s">
        <v>235</v>
      </c>
      <c r="D118" s="14" t="s">
        <v>1369</v>
      </c>
      <c r="E118" s="14" t="s">
        <v>1370</v>
      </c>
      <c r="F118" s="14" t="s">
        <v>1371</v>
      </c>
      <c r="G118" s="15">
        <v>4.5</v>
      </c>
      <c r="H118" s="15">
        <v>10.199999999999999</v>
      </c>
      <c r="I118" s="18" t="s">
        <v>259</v>
      </c>
    </row>
    <row r="119" spans="1:9" ht="12.5">
      <c r="A119" s="16">
        <v>1343412</v>
      </c>
      <c r="B119" s="17" t="s">
        <v>225</v>
      </c>
      <c r="C119" s="17" t="s">
        <v>1338</v>
      </c>
      <c r="D119" s="14" t="s">
        <v>1372</v>
      </c>
      <c r="E119" s="14" t="s">
        <v>1373</v>
      </c>
      <c r="F119" s="14" t="s">
        <v>1374</v>
      </c>
      <c r="G119" s="15">
        <v>4.2</v>
      </c>
      <c r="H119" s="15">
        <v>1.1000000000000001</v>
      </c>
      <c r="I119" s="18" t="s">
        <v>17</v>
      </c>
    </row>
    <row r="120" spans="1:9" ht="12.5">
      <c r="A120" s="16">
        <v>2810467</v>
      </c>
      <c r="B120" s="17" t="s">
        <v>225</v>
      </c>
      <c r="C120" s="17" t="s">
        <v>235</v>
      </c>
      <c r="D120" s="14" t="s">
        <v>1375</v>
      </c>
      <c r="E120" s="14" t="s">
        <v>1376</v>
      </c>
      <c r="F120" s="14" t="s">
        <v>1377</v>
      </c>
      <c r="G120" s="15">
        <v>4.45</v>
      </c>
      <c r="H120" s="15">
        <v>12</v>
      </c>
      <c r="I120" s="18" t="s">
        <v>21</v>
      </c>
    </row>
    <row r="121" spans="1:9" ht="12.5">
      <c r="A121" s="16">
        <v>1233396</v>
      </c>
      <c r="B121" s="17" t="s">
        <v>225</v>
      </c>
      <c r="C121" s="17" t="s">
        <v>226</v>
      </c>
      <c r="D121" s="14" t="s">
        <v>1378</v>
      </c>
      <c r="E121" s="14" t="s">
        <v>1379</v>
      </c>
      <c r="F121" s="14" t="s">
        <v>1100</v>
      </c>
      <c r="G121" s="15">
        <v>4.4800000000000004</v>
      </c>
      <c r="H121" s="15">
        <v>19.2</v>
      </c>
      <c r="I121" s="18" t="s">
        <v>17</v>
      </c>
    </row>
    <row r="122" spans="1:9" ht="12.5">
      <c r="A122" s="16">
        <v>1143726</v>
      </c>
      <c r="B122" s="17" t="s">
        <v>225</v>
      </c>
      <c r="C122" s="17" t="s">
        <v>235</v>
      </c>
      <c r="D122" s="14" t="s">
        <v>1380</v>
      </c>
      <c r="E122" s="14" t="s">
        <v>1381</v>
      </c>
      <c r="F122" s="14" t="s">
        <v>1100</v>
      </c>
      <c r="G122" s="15">
        <v>4.72</v>
      </c>
      <c r="H122" s="15">
        <v>16.100000000000001</v>
      </c>
      <c r="I122" s="18" t="s">
        <v>17</v>
      </c>
    </row>
    <row r="123" spans="1:9" ht="12.5">
      <c r="A123" s="14">
        <v>2494450</v>
      </c>
      <c r="B123" s="14" t="s">
        <v>225</v>
      </c>
      <c r="C123" s="14" t="s">
        <v>278</v>
      </c>
      <c r="D123" s="14" t="s">
        <v>1382</v>
      </c>
      <c r="E123" s="14" t="s">
        <v>1383</v>
      </c>
      <c r="F123" s="14" t="s">
        <v>1274</v>
      </c>
      <c r="G123" s="15">
        <v>4.41</v>
      </c>
      <c r="H123" s="15">
        <v>37.200000000000003</v>
      </c>
      <c r="I123" s="18" t="s">
        <v>21</v>
      </c>
    </row>
    <row r="124" spans="1:9" ht="12.5">
      <c r="A124" s="14">
        <v>808904</v>
      </c>
      <c r="B124" s="14" t="s">
        <v>225</v>
      </c>
      <c r="C124" s="14" t="s">
        <v>235</v>
      </c>
      <c r="D124" s="14" t="s">
        <v>1384</v>
      </c>
      <c r="E124" s="14" t="s">
        <v>1385</v>
      </c>
      <c r="F124" s="14" t="s">
        <v>1100</v>
      </c>
      <c r="G124" s="15">
        <v>4.42</v>
      </c>
      <c r="H124" s="15">
        <v>15.9</v>
      </c>
      <c r="I124" s="14" t="s">
        <v>17</v>
      </c>
    </row>
    <row r="125" spans="1:9" ht="12.5">
      <c r="A125" s="16">
        <v>672274</v>
      </c>
      <c r="B125" s="17" t="s">
        <v>225</v>
      </c>
      <c r="C125" s="17" t="s">
        <v>235</v>
      </c>
      <c r="D125" s="14" t="s">
        <v>1386</v>
      </c>
      <c r="E125" s="14" t="s">
        <v>1387</v>
      </c>
      <c r="F125" s="14" t="s">
        <v>1388</v>
      </c>
      <c r="G125" s="15">
        <v>4.37</v>
      </c>
      <c r="H125" s="15">
        <v>11.1</v>
      </c>
      <c r="I125" s="18" t="s">
        <v>21</v>
      </c>
    </row>
    <row r="126" spans="1:9" ht="12.5">
      <c r="A126" s="16">
        <v>2296466</v>
      </c>
      <c r="B126" s="17" t="s">
        <v>225</v>
      </c>
      <c r="C126" s="17" t="s">
        <v>278</v>
      </c>
      <c r="D126" s="14" t="s">
        <v>1389</v>
      </c>
      <c r="E126" s="14" t="s">
        <v>1389</v>
      </c>
      <c r="F126" s="14" t="s">
        <v>1302</v>
      </c>
      <c r="G126" s="15">
        <v>4.4000000000000004</v>
      </c>
      <c r="H126" s="15">
        <v>47.4</v>
      </c>
      <c r="I126" s="18" t="s">
        <v>21</v>
      </c>
    </row>
    <row r="127" spans="1:9" ht="12.5">
      <c r="A127" s="16">
        <v>2778790</v>
      </c>
      <c r="B127" s="17" t="s">
        <v>225</v>
      </c>
      <c r="C127" s="17" t="s">
        <v>235</v>
      </c>
      <c r="D127" s="14" t="s">
        <v>1390</v>
      </c>
      <c r="E127" s="14" t="s">
        <v>1391</v>
      </c>
      <c r="F127" s="14" t="s">
        <v>1392</v>
      </c>
      <c r="G127" s="15">
        <v>3.89</v>
      </c>
      <c r="H127" s="15">
        <v>6.3</v>
      </c>
      <c r="I127" s="18" t="s">
        <v>72</v>
      </c>
    </row>
    <row r="128" spans="1:9" ht="12.5">
      <c r="A128" s="16">
        <v>1024850</v>
      </c>
      <c r="B128" s="17" t="s">
        <v>225</v>
      </c>
      <c r="C128" s="17" t="s">
        <v>226</v>
      </c>
      <c r="D128" s="14" t="s">
        <v>1393</v>
      </c>
      <c r="E128" s="14" t="s">
        <v>1394</v>
      </c>
      <c r="F128" s="14" t="s">
        <v>1395</v>
      </c>
      <c r="G128" s="19">
        <v>4.0599999999999996</v>
      </c>
      <c r="H128" s="15">
        <v>1</v>
      </c>
      <c r="I128" s="18" t="s">
        <v>21</v>
      </c>
    </row>
    <row r="129" spans="1:9" ht="12.5">
      <c r="A129" s="16">
        <v>1241838</v>
      </c>
      <c r="B129" s="14" t="s">
        <v>225</v>
      </c>
      <c r="C129" s="17" t="s">
        <v>229</v>
      </c>
      <c r="D129" s="14" t="s">
        <v>1396</v>
      </c>
      <c r="E129" s="14" t="s">
        <v>1397</v>
      </c>
      <c r="F129" s="14" t="s">
        <v>1100</v>
      </c>
      <c r="G129" s="15">
        <v>4.28</v>
      </c>
      <c r="H129" s="15">
        <v>2.2999999999999998</v>
      </c>
      <c r="I129" s="18" t="s">
        <v>72</v>
      </c>
    </row>
    <row r="130" spans="1:9" ht="12.5">
      <c r="A130" s="16">
        <v>2570764</v>
      </c>
      <c r="B130" s="17" t="s">
        <v>225</v>
      </c>
      <c r="C130" s="17" t="s">
        <v>235</v>
      </c>
      <c r="D130" s="14" t="s">
        <v>1398</v>
      </c>
      <c r="E130" s="14" t="s">
        <v>1399</v>
      </c>
      <c r="F130" s="14" t="s">
        <v>1392</v>
      </c>
      <c r="G130" s="15">
        <v>3.81</v>
      </c>
      <c r="H130" s="15">
        <v>2.6</v>
      </c>
      <c r="I130" s="18" t="s">
        <v>17</v>
      </c>
    </row>
    <row r="131" spans="1:9" ht="12.5">
      <c r="A131" s="14">
        <v>1315502</v>
      </c>
      <c r="B131" s="14" t="s">
        <v>225</v>
      </c>
      <c r="C131" s="14" t="s">
        <v>1338</v>
      </c>
      <c r="D131" s="14" t="s">
        <v>1400</v>
      </c>
      <c r="E131" s="14" t="s">
        <v>1401</v>
      </c>
      <c r="F131" s="14" t="s">
        <v>1302</v>
      </c>
      <c r="G131" s="15">
        <v>4.62</v>
      </c>
      <c r="H131" s="15">
        <v>21.9</v>
      </c>
      <c r="I131" s="14" t="s">
        <v>21</v>
      </c>
    </row>
    <row r="132" spans="1:9" ht="12.5">
      <c r="A132" s="16">
        <v>922108</v>
      </c>
      <c r="B132" s="17" t="s">
        <v>225</v>
      </c>
      <c r="C132" s="17" t="s">
        <v>226</v>
      </c>
      <c r="D132" s="14" t="s">
        <v>1402</v>
      </c>
      <c r="E132" s="14" t="s">
        <v>1403</v>
      </c>
      <c r="F132" s="14" t="s">
        <v>1100</v>
      </c>
      <c r="G132" s="15">
        <v>4.53</v>
      </c>
      <c r="H132" s="15">
        <v>12.7</v>
      </c>
      <c r="I132" s="18" t="s">
        <v>17</v>
      </c>
    </row>
    <row r="133" spans="1:9" ht="12.5">
      <c r="A133" s="14">
        <v>1833306</v>
      </c>
      <c r="B133" s="14" t="s">
        <v>225</v>
      </c>
      <c r="C133" s="14" t="s">
        <v>288</v>
      </c>
      <c r="D133" s="14" t="s">
        <v>1404</v>
      </c>
      <c r="E133" s="14" t="s">
        <v>1405</v>
      </c>
      <c r="F133" s="14" t="s">
        <v>1406</v>
      </c>
      <c r="G133" s="15">
        <v>4.0599999999999996</v>
      </c>
      <c r="H133" s="15">
        <v>4.5</v>
      </c>
      <c r="I133" s="14" t="s">
        <v>21</v>
      </c>
    </row>
    <row r="134" spans="1:9" ht="12.5">
      <c r="A134" s="16">
        <v>1449884</v>
      </c>
      <c r="B134" s="17" t="s">
        <v>225</v>
      </c>
      <c r="C134" s="17" t="s">
        <v>226</v>
      </c>
      <c r="D134" s="14" t="s">
        <v>1407</v>
      </c>
      <c r="E134" s="14" t="s">
        <v>1408</v>
      </c>
      <c r="F134" s="14" t="s">
        <v>1151</v>
      </c>
      <c r="G134" s="15">
        <v>4.42</v>
      </c>
      <c r="H134" s="15">
        <v>25.5</v>
      </c>
      <c r="I134" s="18" t="s">
        <v>21</v>
      </c>
    </row>
    <row r="135" spans="1:9" ht="12.5">
      <c r="A135" s="16">
        <v>2331796</v>
      </c>
      <c r="B135" s="17" t="s">
        <v>225</v>
      </c>
      <c r="C135" s="17" t="s">
        <v>235</v>
      </c>
      <c r="D135" s="14" t="s">
        <v>1409</v>
      </c>
      <c r="E135" s="14" t="s">
        <v>1410</v>
      </c>
      <c r="F135" s="14" t="s">
        <v>1392</v>
      </c>
      <c r="G135" s="15">
        <v>4.43</v>
      </c>
      <c r="H135" s="15">
        <v>4.8</v>
      </c>
      <c r="I135" s="18" t="s">
        <v>72</v>
      </c>
    </row>
    <row r="136" spans="1:9" ht="12.5">
      <c r="A136" s="16">
        <v>1158546</v>
      </c>
      <c r="B136" s="17" t="s">
        <v>225</v>
      </c>
      <c r="C136" s="17" t="s">
        <v>235</v>
      </c>
      <c r="D136" s="14" t="s">
        <v>1411</v>
      </c>
      <c r="E136" s="14" t="s">
        <v>1412</v>
      </c>
      <c r="F136" s="14" t="s">
        <v>1413</v>
      </c>
      <c r="G136" s="15">
        <v>4.1399999999999997</v>
      </c>
      <c r="H136" s="15">
        <v>1.4</v>
      </c>
      <c r="I136" s="18" t="s">
        <v>21</v>
      </c>
    </row>
    <row r="137" spans="1:9" ht="12.5">
      <c r="A137" s="14">
        <v>2846104</v>
      </c>
      <c r="B137" s="14" t="s">
        <v>225</v>
      </c>
      <c r="C137" s="14" t="s">
        <v>235</v>
      </c>
      <c r="D137" s="14" t="s">
        <v>1414</v>
      </c>
      <c r="E137" s="14" t="s">
        <v>1415</v>
      </c>
      <c r="F137" s="14" t="s">
        <v>1416</v>
      </c>
      <c r="G137" s="15">
        <v>4.51</v>
      </c>
      <c r="H137" s="15">
        <v>15.4</v>
      </c>
      <c r="I137" s="14" t="s">
        <v>21</v>
      </c>
    </row>
    <row r="138" spans="1:9" ht="12.5">
      <c r="A138" s="16">
        <v>1565094</v>
      </c>
      <c r="B138" s="17" t="s">
        <v>225</v>
      </c>
      <c r="C138" s="17" t="s">
        <v>235</v>
      </c>
      <c r="D138" s="14" t="s">
        <v>1417</v>
      </c>
      <c r="E138" s="14" t="s">
        <v>1418</v>
      </c>
      <c r="F138" s="14" t="s">
        <v>1195</v>
      </c>
      <c r="G138" s="15">
        <v>4.55</v>
      </c>
      <c r="H138" s="15">
        <v>13</v>
      </c>
      <c r="I138" s="18" t="s">
        <v>17</v>
      </c>
    </row>
    <row r="139" spans="1:9" ht="12.5">
      <c r="A139" s="16">
        <v>833356</v>
      </c>
      <c r="B139" s="14" t="s">
        <v>225</v>
      </c>
      <c r="C139" s="17" t="s">
        <v>226</v>
      </c>
      <c r="D139" s="14" t="s">
        <v>1419</v>
      </c>
      <c r="E139" s="14" t="s">
        <v>1420</v>
      </c>
      <c r="F139" s="14" t="s">
        <v>1324</v>
      </c>
      <c r="G139" s="15">
        <v>4.54</v>
      </c>
      <c r="H139" s="15">
        <v>2.8</v>
      </c>
      <c r="I139" s="18" t="s">
        <v>17</v>
      </c>
    </row>
    <row r="140" spans="1:9" ht="12.5">
      <c r="A140" s="16">
        <v>2098690</v>
      </c>
      <c r="B140" s="17" t="s">
        <v>225</v>
      </c>
      <c r="C140" s="17" t="s">
        <v>226</v>
      </c>
      <c r="D140" s="14" t="s">
        <v>1421</v>
      </c>
      <c r="E140" s="14" t="s">
        <v>1422</v>
      </c>
      <c r="F140" s="14" t="s">
        <v>65</v>
      </c>
      <c r="G140" s="15">
        <v>4.6399999999999997</v>
      </c>
      <c r="H140" s="15">
        <v>15.8</v>
      </c>
      <c r="I140" s="18" t="s">
        <v>17</v>
      </c>
    </row>
    <row r="141" spans="1:9" ht="12.5">
      <c r="A141" s="16">
        <v>1753504</v>
      </c>
      <c r="B141" s="17" t="s">
        <v>225</v>
      </c>
      <c r="C141" s="17" t="s">
        <v>288</v>
      </c>
      <c r="D141" s="14" t="s">
        <v>1423</v>
      </c>
      <c r="E141" s="14" t="s">
        <v>1424</v>
      </c>
      <c r="F141" s="14" t="s">
        <v>1302</v>
      </c>
      <c r="G141" s="15">
        <v>4.3600000000000003</v>
      </c>
      <c r="H141" s="15">
        <v>14</v>
      </c>
      <c r="I141" s="18" t="s">
        <v>21</v>
      </c>
    </row>
    <row r="142" spans="1:9" ht="12.5">
      <c r="A142" s="14">
        <v>1144840</v>
      </c>
      <c r="B142" s="14" t="s">
        <v>225</v>
      </c>
      <c r="C142" s="14" t="s">
        <v>235</v>
      </c>
      <c r="D142" s="14" t="s">
        <v>1425</v>
      </c>
      <c r="E142" s="14" t="s">
        <v>1426</v>
      </c>
      <c r="F142" s="14" t="s">
        <v>1100</v>
      </c>
      <c r="G142" s="15">
        <v>4.3899999999999997</v>
      </c>
      <c r="H142" s="15">
        <v>5.6</v>
      </c>
      <c r="I142" s="14" t="s">
        <v>72</v>
      </c>
    </row>
    <row r="143" spans="1:9" ht="12.5">
      <c r="A143" s="16">
        <v>1915614</v>
      </c>
      <c r="B143" s="17" t="s">
        <v>225</v>
      </c>
      <c r="C143" s="17" t="s">
        <v>229</v>
      </c>
      <c r="D143" s="14" t="s">
        <v>1427</v>
      </c>
      <c r="E143" s="14" t="s">
        <v>1428</v>
      </c>
      <c r="F143" s="14" t="s">
        <v>1429</v>
      </c>
      <c r="G143" s="15">
        <v>4.54</v>
      </c>
      <c r="H143" s="15">
        <v>3.4</v>
      </c>
      <c r="I143" s="18" t="s">
        <v>17</v>
      </c>
    </row>
    <row r="144" spans="1:9" ht="12.5">
      <c r="A144" s="14">
        <v>2434546</v>
      </c>
      <c r="B144" s="14" t="s">
        <v>225</v>
      </c>
      <c r="C144" s="14" t="s">
        <v>278</v>
      </c>
      <c r="D144" s="14" t="s">
        <v>1430</v>
      </c>
      <c r="E144" s="14" t="s">
        <v>1431</v>
      </c>
      <c r="F144" s="14" t="s">
        <v>1432</v>
      </c>
      <c r="G144" s="15">
        <v>4.66</v>
      </c>
      <c r="H144" s="15">
        <v>35</v>
      </c>
      <c r="I144" s="18" t="s">
        <v>21</v>
      </c>
    </row>
    <row r="145" spans="1:9" ht="12.5">
      <c r="A145" s="14">
        <v>1402414</v>
      </c>
      <c r="B145" s="14" t="s">
        <v>225</v>
      </c>
      <c r="C145" s="14" t="s">
        <v>235</v>
      </c>
      <c r="D145" s="14" t="s">
        <v>1433</v>
      </c>
      <c r="E145" s="14" t="s">
        <v>1434</v>
      </c>
      <c r="F145" s="14" t="s">
        <v>1435</v>
      </c>
      <c r="G145" s="15">
        <v>4.5</v>
      </c>
      <c r="H145" s="15">
        <v>33</v>
      </c>
      <c r="I145" s="18" t="s">
        <v>17</v>
      </c>
    </row>
    <row r="146" spans="1:9" ht="12.5">
      <c r="A146" s="14">
        <v>1924746</v>
      </c>
      <c r="B146" s="14" t="s">
        <v>225</v>
      </c>
      <c r="C146" s="14" t="s">
        <v>235</v>
      </c>
      <c r="D146" s="14" t="s">
        <v>1436</v>
      </c>
      <c r="E146" s="14" t="s">
        <v>1437</v>
      </c>
      <c r="F146" s="14" t="s">
        <v>1106</v>
      </c>
      <c r="G146" s="15">
        <v>4.8099999999999996</v>
      </c>
      <c r="H146" s="15">
        <v>2.8</v>
      </c>
      <c r="I146" s="14" t="s">
        <v>72</v>
      </c>
    </row>
    <row r="147" spans="1:9" ht="12.5">
      <c r="A147" s="16">
        <v>2366380</v>
      </c>
      <c r="B147" s="17" t="s">
        <v>225</v>
      </c>
      <c r="C147" s="17" t="s">
        <v>226</v>
      </c>
      <c r="D147" s="14" t="s">
        <v>1438</v>
      </c>
      <c r="E147" s="14" t="s">
        <v>1439</v>
      </c>
      <c r="F147" s="14" t="s">
        <v>65</v>
      </c>
      <c r="G147" s="15">
        <v>4.1900000000000004</v>
      </c>
      <c r="H147" s="15">
        <v>13.5</v>
      </c>
      <c r="I147" s="18" t="s">
        <v>17</v>
      </c>
    </row>
    <row r="148" spans="1:9" ht="12.5">
      <c r="A148" s="16">
        <v>2109960</v>
      </c>
      <c r="B148" s="17" t="s">
        <v>225</v>
      </c>
      <c r="C148" s="17" t="s">
        <v>226</v>
      </c>
      <c r="D148" s="14" t="s">
        <v>1440</v>
      </c>
      <c r="E148" s="14" t="s">
        <v>1441</v>
      </c>
      <c r="F148" s="14" t="s">
        <v>1174</v>
      </c>
      <c r="G148" s="15">
        <v>4.57</v>
      </c>
      <c r="H148" s="15">
        <v>9.1</v>
      </c>
      <c r="I148" s="18" t="s">
        <v>17</v>
      </c>
    </row>
    <row r="149" spans="1:9" ht="12.5">
      <c r="A149" s="16">
        <v>2014020</v>
      </c>
      <c r="B149" s="17" t="s">
        <v>225</v>
      </c>
      <c r="C149" s="17" t="s">
        <v>235</v>
      </c>
      <c r="D149" s="14" t="s">
        <v>1442</v>
      </c>
      <c r="E149" s="14" t="s">
        <v>1443</v>
      </c>
      <c r="F149" s="14" t="s">
        <v>1435</v>
      </c>
      <c r="G149" s="15">
        <v>4.7300000000000004</v>
      </c>
      <c r="H149" s="15">
        <v>10.4</v>
      </c>
      <c r="I149" s="18" t="s">
        <v>21</v>
      </c>
    </row>
    <row r="150" spans="1:9" ht="12.5">
      <c r="A150" s="16">
        <v>2504556</v>
      </c>
      <c r="B150" s="14" t="s">
        <v>225</v>
      </c>
      <c r="C150" s="17" t="s">
        <v>235</v>
      </c>
      <c r="D150" s="14" t="s">
        <v>1444</v>
      </c>
      <c r="E150" s="14" t="s">
        <v>1445</v>
      </c>
      <c r="F150" s="14" t="s">
        <v>1392</v>
      </c>
      <c r="G150" s="15">
        <v>4.12</v>
      </c>
      <c r="H150" s="15">
        <v>4.3</v>
      </c>
      <c r="I150" s="18" t="s">
        <v>72</v>
      </c>
    </row>
    <row r="151" spans="1:9" ht="12.5">
      <c r="A151" s="14">
        <v>3475758</v>
      </c>
      <c r="B151" s="14" t="s">
        <v>225</v>
      </c>
      <c r="C151" s="14" t="s">
        <v>229</v>
      </c>
      <c r="D151" s="14" t="s">
        <v>1446</v>
      </c>
      <c r="E151" s="14" t="s">
        <v>1447</v>
      </c>
      <c r="F151" s="14" t="s">
        <v>1109</v>
      </c>
      <c r="G151" s="15">
        <v>4.34</v>
      </c>
      <c r="H151" s="15">
        <v>4.8</v>
      </c>
      <c r="I151" s="14" t="s">
        <v>17</v>
      </c>
    </row>
    <row r="152" spans="1:9" ht="12.5">
      <c r="A152" s="14">
        <v>1301058</v>
      </c>
      <c r="B152" s="14" t="s">
        <v>225</v>
      </c>
      <c r="C152" s="14" t="s">
        <v>278</v>
      </c>
      <c r="D152" s="14" t="s">
        <v>1448</v>
      </c>
      <c r="E152" s="14" t="s">
        <v>1449</v>
      </c>
      <c r="F152" s="14" t="s">
        <v>1450</v>
      </c>
      <c r="G152" s="15">
        <v>4.12</v>
      </c>
      <c r="H152" s="15">
        <v>14.1</v>
      </c>
      <c r="I152" s="14" t="s">
        <v>21</v>
      </c>
    </row>
    <row r="153" spans="1:9" ht="12.5">
      <c r="A153" s="16">
        <v>1000812</v>
      </c>
      <c r="B153" s="14" t="s">
        <v>225</v>
      </c>
      <c r="C153" s="17" t="s">
        <v>235</v>
      </c>
      <c r="D153" s="14" t="s">
        <v>1451</v>
      </c>
      <c r="E153" s="14" t="s">
        <v>1452</v>
      </c>
      <c r="F153" s="14" t="s">
        <v>1453</v>
      </c>
      <c r="G153" s="15">
        <v>4.5999999999999996</v>
      </c>
      <c r="H153" s="15">
        <v>23.7</v>
      </c>
      <c r="I153" s="18" t="s">
        <v>17</v>
      </c>
    </row>
    <row r="154" spans="1:9" ht="12.5">
      <c r="A154" s="16">
        <v>678136</v>
      </c>
      <c r="B154" s="17" t="s">
        <v>225</v>
      </c>
      <c r="C154" s="17" t="s">
        <v>235</v>
      </c>
      <c r="D154" s="14" t="s">
        <v>1454</v>
      </c>
      <c r="E154" s="14" t="s">
        <v>1455</v>
      </c>
      <c r="F154" s="14" t="s">
        <v>1100</v>
      </c>
      <c r="G154" s="15">
        <v>4.5199999999999996</v>
      </c>
      <c r="H154" s="15">
        <v>5.9</v>
      </c>
      <c r="I154" s="18" t="s">
        <v>21</v>
      </c>
    </row>
    <row r="155" spans="1:9" ht="12.5">
      <c r="A155" s="16">
        <v>2187684</v>
      </c>
      <c r="B155" s="17" t="s">
        <v>225</v>
      </c>
      <c r="C155" s="17" t="s">
        <v>226</v>
      </c>
      <c r="D155" s="14" t="s">
        <v>1456</v>
      </c>
      <c r="E155" s="14" t="s">
        <v>1457</v>
      </c>
      <c r="F155" s="14" t="s">
        <v>1302</v>
      </c>
      <c r="G155" s="15">
        <v>4.41</v>
      </c>
      <c r="H155" s="15">
        <v>11.9</v>
      </c>
      <c r="I155" s="18" t="s">
        <v>21</v>
      </c>
    </row>
    <row r="156" spans="1:9" ht="12.5">
      <c r="A156" s="16">
        <v>1129198</v>
      </c>
      <c r="B156" s="14" t="s">
        <v>225</v>
      </c>
      <c r="C156" s="17" t="s">
        <v>229</v>
      </c>
      <c r="D156" s="14" t="s">
        <v>1458</v>
      </c>
      <c r="E156" s="14" t="s">
        <v>1459</v>
      </c>
      <c r="F156" s="14" t="s">
        <v>1460</v>
      </c>
      <c r="G156" s="15">
        <v>4.78</v>
      </c>
      <c r="H156" s="15">
        <v>4.3</v>
      </c>
      <c r="I156" s="18" t="s">
        <v>17</v>
      </c>
    </row>
    <row r="157" spans="1:9" ht="12.5">
      <c r="A157" s="16">
        <v>1240084</v>
      </c>
      <c r="B157" s="17" t="s">
        <v>225</v>
      </c>
      <c r="C157" s="17" t="s">
        <v>278</v>
      </c>
      <c r="D157" s="14" t="s">
        <v>1461</v>
      </c>
      <c r="E157" s="14" t="s">
        <v>1462</v>
      </c>
      <c r="F157" s="14" t="s">
        <v>1374</v>
      </c>
      <c r="G157" s="19">
        <v>4.49</v>
      </c>
      <c r="H157" s="15">
        <v>27.2</v>
      </c>
      <c r="I157" s="18" t="s">
        <v>21</v>
      </c>
    </row>
    <row r="158" spans="1:9" ht="12.5">
      <c r="A158" s="16">
        <v>1317696</v>
      </c>
      <c r="B158" s="14" t="s">
        <v>225</v>
      </c>
      <c r="C158" s="14" t="s">
        <v>235</v>
      </c>
      <c r="D158" s="14" t="s">
        <v>1463</v>
      </c>
      <c r="E158" s="14" t="s">
        <v>1464</v>
      </c>
      <c r="F158" s="14" t="s">
        <v>1465</v>
      </c>
      <c r="G158" s="15">
        <v>3.95</v>
      </c>
      <c r="H158" s="15">
        <v>6</v>
      </c>
      <c r="I158" s="18" t="s">
        <v>72</v>
      </c>
    </row>
    <row r="159" spans="1:9" ht="12.5">
      <c r="A159" s="16">
        <v>1500692</v>
      </c>
      <c r="B159" s="17" t="s">
        <v>225</v>
      </c>
      <c r="C159" s="17" t="s">
        <v>235</v>
      </c>
      <c r="D159" s="14" t="s">
        <v>1466</v>
      </c>
      <c r="E159" s="14" t="s">
        <v>1467</v>
      </c>
      <c r="F159" s="14" t="s">
        <v>1318</v>
      </c>
      <c r="G159" s="15">
        <v>3.94</v>
      </c>
      <c r="H159" s="15">
        <v>6.1</v>
      </c>
      <c r="I159" s="18" t="s">
        <v>72</v>
      </c>
    </row>
    <row r="160" spans="1:9" ht="12.5">
      <c r="A160" s="14">
        <v>1000848</v>
      </c>
      <c r="B160" s="14" t="s">
        <v>225</v>
      </c>
      <c r="C160" s="14" t="s">
        <v>226</v>
      </c>
      <c r="D160" s="14" t="s">
        <v>1468</v>
      </c>
      <c r="E160" s="14" t="s">
        <v>1469</v>
      </c>
      <c r="F160" s="14" t="s">
        <v>1324</v>
      </c>
      <c r="G160" s="19">
        <v>4.6100000000000003</v>
      </c>
      <c r="H160" s="15">
        <v>3</v>
      </c>
      <c r="I160" s="18" t="s">
        <v>17</v>
      </c>
    </row>
    <row r="161" spans="1:9" ht="12.5">
      <c r="A161" s="16">
        <v>974264</v>
      </c>
      <c r="B161" s="17" t="s">
        <v>225</v>
      </c>
      <c r="C161" s="17" t="s">
        <v>235</v>
      </c>
      <c r="D161" s="14" t="s">
        <v>1470</v>
      </c>
      <c r="E161" s="14" t="s">
        <v>1471</v>
      </c>
      <c r="F161" s="14" t="s">
        <v>1472</v>
      </c>
      <c r="G161" s="15">
        <v>4.13</v>
      </c>
      <c r="H161" s="15">
        <v>3.1</v>
      </c>
      <c r="I161" s="18" t="s">
        <v>17</v>
      </c>
    </row>
    <row r="162" spans="1:9" ht="12.5">
      <c r="A162" s="14">
        <v>1322552</v>
      </c>
      <c r="B162" s="14" t="s">
        <v>225</v>
      </c>
      <c r="C162" s="14" t="s">
        <v>235</v>
      </c>
      <c r="D162" s="17" t="s">
        <v>1473</v>
      </c>
      <c r="E162" s="14" t="s">
        <v>1474</v>
      </c>
      <c r="F162" s="14" t="s">
        <v>1353</v>
      </c>
      <c r="G162" s="15">
        <v>4.78</v>
      </c>
      <c r="H162" s="15">
        <v>3.5</v>
      </c>
      <c r="I162" s="14" t="s">
        <v>72</v>
      </c>
    </row>
    <row r="163" spans="1:9" ht="12.5">
      <c r="A163" s="14">
        <v>1412832</v>
      </c>
      <c r="B163" s="14" t="s">
        <v>225</v>
      </c>
      <c r="C163" s="14" t="s">
        <v>229</v>
      </c>
      <c r="D163" s="17" t="s">
        <v>1475</v>
      </c>
      <c r="E163" s="14" t="s">
        <v>1476</v>
      </c>
      <c r="F163" s="14" t="s">
        <v>1477</v>
      </c>
      <c r="G163" s="15">
        <v>4.1900000000000004</v>
      </c>
      <c r="H163" s="15">
        <v>0.7</v>
      </c>
      <c r="I163" s="14" t="s">
        <v>17</v>
      </c>
    </row>
    <row r="164" spans="1:9" ht="12.5">
      <c r="A164" s="14">
        <v>1035348</v>
      </c>
      <c r="B164" s="14" t="s">
        <v>225</v>
      </c>
      <c r="C164" s="14" t="s">
        <v>226</v>
      </c>
      <c r="D164" s="14" t="s">
        <v>1478</v>
      </c>
      <c r="E164" s="14" t="s">
        <v>1479</v>
      </c>
      <c r="F164" s="14" t="s">
        <v>1324</v>
      </c>
      <c r="G164" s="15">
        <v>4.46</v>
      </c>
      <c r="H164" s="15">
        <v>2.2000000000000002</v>
      </c>
      <c r="I164" s="14" t="s">
        <v>72</v>
      </c>
    </row>
    <row r="165" spans="1:9" ht="12.5">
      <c r="A165" s="16">
        <v>925924</v>
      </c>
      <c r="B165" s="17" t="s">
        <v>225</v>
      </c>
      <c r="C165" s="17" t="s">
        <v>226</v>
      </c>
      <c r="D165" s="14" t="s">
        <v>1480</v>
      </c>
      <c r="E165" s="14" t="s">
        <v>1481</v>
      </c>
      <c r="F165" s="14" t="s">
        <v>1324</v>
      </c>
      <c r="G165" s="15">
        <v>4.6100000000000003</v>
      </c>
      <c r="H165" s="15">
        <v>2.4</v>
      </c>
      <c r="I165" s="18" t="s">
        <v>17</v>
      </c>
    </row>
    <row r="166" spans="1:9" ht="12.5">
      <c r="A166" s="14">
        <v>373208</v>
      </c>
      <c r="B166" s="14" t="s">
        <v>225</v>
      </c>
      <c r="C166" s="14" t="s">
        <v>278</v>
      </c>
      <c r="D166" s="14" t="s">
        <v>1482</v>
      </c>
      <c r="E166" s="14" t="s">
        <v>1483</v>
      </c>
      <c r="F166" s="14" t="s">
        <v>1274</v>
      </c>
      <c r="G166" s="15">
        <v>3.92</v>
      </c>
      <c r="H166" s="15">
        <v>16.600000000000001</v>
      </c>
      <c r="I166" s="14" t="s">
        <v>21</v>
      </c>
    </row>
    <row r="167" spans="1:9" ht="12.5">
      <c r="A167" s="16">
        <v>1436546</v>
      </c>
      <c r="B167" s="17" t="s">
        <v>225</v>
      </c>
      <c r="C167" s="17" t="s">
        <v>235</v>
      </c>
      <c r="D167" s="14" t="s">
        <v>1484</v>
      </c>
      <c r="E167" s="14" t="s">
        <v>1485</v>
      </c>
      <c r="F167" s="14" t="s">
        <v>1233</v>
      </c>
      <c r="G167" s="15">
        <v>4.38</v>
      </c>
      <c r="H167" s="15">
        <v>5.2</v>
      </c>
      <c r="I167" s="18" t="s">
        <v>21</v>
      </c>
    </row>
    <row r="168" spans="1:9" ht="12.5">
      <c r="A168" s="16">
        <v>1527024</v>
      </c>
      <c r="B168" s="17" t="s">
        <v>225</v>
      </c>
      <c r="C168" s="17" t="s">
        <v>278</v>
      </c>
      <c r="D168" s="14" t="s">
        <v>1486</v>
      </c>
      <c r="E168" s="14" t="s">
        <v>1487</v>
      </c>
      <c r="F168" s="14" t="s">
        <v>1205</v>
      </c>
      <c r="G168" s="15">
        <v>4.18</v>
      </c>
      <c r="H168" s="15">
        <v>1.9</v>
      </c>
      <c r="I168" s="18" t="s">
        <v>17</v>
      </c>
    </row>
    <row r="169" spans="1:9" ht="12.5">
      <c r="A169" s="16">
        <v>2500020</v>
      </c>
      <c r="B169" s="17" t="s">
        <v>225</v>
      </c>
      <c r="C169" s="17" t="s">
        <v>278</v>
      </c>
      <c r="D169" s="14" t="s">
        <v>1488</v>
      </c>
      <c r="E169" s="14" t="s">
        <v>1489</v>
      </c>
      <c r="F169" s="14" t="s">
        <v>1374</v>
      </c>
      <c r="G169" s="19">
        <v>4.53</v>
      </c>
      <c r="H169" s="15">
        <v>24.8</v>
      </c>
      <c r="I169" s="18" t="s">
        <v>21</v>
      </c>
    </row>
    <row r="170" spans="1:9" ht="12.5">
      <c r="A170" s="16">
        <v>268020</v>
      </c>
      <c r="B170" s="17" t="s">
        <v>225</v>
      </c>
      <c r="C170" s="17" t="s">
        <v>235</v>
      </c>
      <c r="D170" s="14" t="s">
        <v>1490</v>
      </c>
      <c r="E170" s="14" t="s">
        <v>1491</v>
      </c>
      <c r="F170" s="14" t="s">
        <v>1492</v>
      </c>
      <c r="G170" s="15">
        <v>4.75</v>
      </c>
      <c r="H170" s="15">
        <v>3.2</v>
      </c>
      <c r="I170" s="18" t="s">
        <v>21</v>
      </c>
    </row>
    <row r="171" spans="1:9" ht="12.5">
      <c r="A171" s="14">
        <v>2272938</v>
      </c>
      <c r="B171" s="14" t="s">
        <v>225</v>
      </c>
      <c r="C171" s="14" t="s">
        <v>226</v>
      </c>
      <c r="D171" s="14" t="s">
        <v>1493</v>
      </c>
      <c r="E171" s="14" t="s">
        <v>1494</v>
      </c>
      <c r="F171" s="14" t="s">
        <v>1495</v>
      </c>
      <c r="G171" s="15">
        <v>4.6500000000000004</v>
      </c>
      <c r="H171" s="15">
        <v>6.5</v>
      </c>
      <c r="I171" s="14" t="s">
        <v>17</v>
      </c>
    </row>
    <row r="172" spans="1:9" ht="12.5">
      <c r="A172" s="14">
        <v>495990</v>
      </c>
      <c r="B172" s="14" t="s">
        <v>225</v>
      </c>
      <c r="C172" s="14" t="s">
        <v>226</v>
      </c>
      <c r="D172" s="14" t="s">
        <v>1496</v>
      </c>
      <c r="E172" s="14" t="s">
        <v>1497</v>
      </c>
      <c r="F172" s="14" t="s">
        <v>1388</v>
      </c>
      <c r="G172" s="15">
        <v>3.96</v>
      </c>
      <c r="H172" s="15">
        <v>8</v>
      </c>
      <c r="I172" s="14" t="s">
        <v>17</v>
      </c>
    </row>
    <row r="173" spans="1:9" ht="12.5">
      <c r="A173" s="16">
        <v>2388518</v>
      </c>
      <c r="B173" s="17" t="s">
        <v>225</v>
      </c>
      <c r="C173" s="17" t="s">
        <v>226</v>
      </c>
      <c r="D173" s="14" t="s">
        <v>1498</v>
      </c>
      <c r="E173" s="14" t="s">
        <v>1499</v>
      </c>
      <c r="F173" s="14" t="s">
        <v>1302</v>
      </c>
      <c r="G173" s="15">
        <v>4.54</v>
      </c>
      <c r="H173" s="15">
        <v>8.6999999999999993</v>
      </c>
      <c r="I173" s="18" t="s">
        <v>17</v>
      </c>
    </row>
    <row r="174" spans="1:9" ht="12.5">
      <c r="A174" s="16">
        <v>1169292</v>
      </c>
      <c r="B174" s="17" t="s">
        <v>225</v>
      </c>
      <c r="C174" s="14" t="s">
        <v>278</v>
      </c>
      <c r="D174" s="14" t="s">
        <v>1500</v>
      </c>
      <c r="E174" s="14" t="s">
        <v>1501</v>
      </c>
      <c r="F174" s="14" t="s">
        <v>1302</v>
      </c>
      <c r="G174" s="15">
        <v>4.51</v>
      </c>
      <c r="H174" s="15">
        <v>73.5</v>
      </c>
      <c r="I174" s="18" t="s">
        <v>17</v>
      </c>
    </row>
    <row r="175" spans="1:9" ht="12.5">
      <c r="A175" s="16">
        <v>1853432</v>
      </c>
      <c r="B175" s="17" t="s">
        <v>225</v>
      </c>
      <c r="C175" s="17" t="s">
        <v>235</v>
      </c>
      <c r="D175" s="14" t="s">
        <v>1502</v>
      </c>
      <c r="E175" s="14" t="s">
        <v>1503</v>
      </c>
      <c r="F175" s="14" t="s">
        <v>1504</v>
      </c>
      <c r="G175" s="15">
        <v>4.07</v>
      </c>
      <c r="H175" s="15">
        <v>9.1</v>
      </c>
      <c r="I175" s="18" t="s">
        <v>17</v>
      </c>
    </row>
    <row r="176" spans="1:9" ht="12.5">
      <c r="A176" s="16">
        <v>923554</v>
      </c>
      <c r="B176" s="17" t="s">
        <v>225</v>
      </c>
      <c r="C176" s="17" t="s">
        <v>235</v>
      </c>
      <c r="D176" s="14" t="s">
        <v>1505</v>
      </c>
      <c r="E176" s="14" t="s">
        <v>1506</v>
      </c>
      <c r="F176" s="14" t="s">
        <v>1507</v>
      </c>
      <c r="G176" s="15">
        <v>4.5199999999999996</v>
      </c>
      <c r="H176" s="15">
        <v>6.2</v>
      </c>
      <c r="I176" s="18" t="s">
        <v>21</v>
      </c>
    </row>
    <row r="177" spans="1:9" ht="12.5">
      <c r="A177" s="14">
        <v>1431716</v>
      </c>
      <c r="B177" s="14" t="s">
        <v>225</v>
      </c>
      <c r="C177" s="14" t="s">
        <v>385</v>
      </c>
      <c r="D177" s="14" t="s">
        <v>1508</v>
      </c>
      <c r="E177" s="14" t="s">
        <v>1509</v>
      </c>
      <c r="F177" s="14" t="s">
        <v>1205</v>
      </c>
      <c r="G177" s="15">
        <v>4.4400000000000004</v>
      </c>
      <c r="H177" s="15">
        <v>1.3</v>
      </c>
      <c r="I177" s="14" t="s">
        <v>21</v>
      </c>
    </row>
    <row r="178" spans="1:9" ht="12.5">
      <c r="A178" s="16">
        <v>2218976</v>
      </c>
      <c r="B178" s="14" t="s">
        <v>225</v>
      </c>
      <c r="C178" s="17" t="s">
        <v>278</v>
      </c>
      <c r="D178" s="14" t="s">
        <v>1510</v>
      </c>
      <c r="E178" s="14" t="s">
        <v>1511</v>
      </c>
      <c r="F178" s="14" t="s">
        <v>1360</v>
      </c>
      <c r="G178" s="15">
        <v>4.46</v>
      </c>
      <c r="H178" s="15">
        <v>7.1</v>
      </c>
      <c r="I178" s="18" t="s">
        <v>21</v>
      </c>
    </row>
    <row r="179" spans="1:9" ht="12.5">
      <c r="A179" s="16">
        <v>1068668</v>
      </c>
      <c r="B179" s="17" t="s">
        <v>225</v>
      </c>
      <c r="C179" s="17" t="s">
        <v>226</v>
      </c>
      <c r="D179" s="14" t="s">
        <v>1512</v>
      </c>
      <c r="E179" s="14" t="s">
        <v>1513</v>
      </c>
      <c r="F179" s="14" t="s">
        <v>1507</v>
      </c>
      <c r="G179" s="15">
        <v>4.5999999999999996</v>
      </c>
      <c r="H179" s="15">
        <v>1.7</v>
      </c>
      <c r="I179" s="18" t="s">
        <v>17</v>
      </c>
    </row>
    <row r="180" spans="1:9" ht="12.5">
      <c r="A180" s="14">
        <v>288206</v>
      </c>
      <c r="B180" s="14" t="s">
        <v>225</v>
      </c>
      <c r="C180" s="14" t="s">
        <v>235</v>
      </c>
      <c r="D180" s="14" t="s">
        <v>1514</v>
      </c>
      <c r="E180" s="14" t="s">
        <v>1515</v>
      </c>
      <c r="F180" s="14" t="s">
        <v>1516</v>
      </c>
      <c r="G180" s="15">
        <v>4.54</v>
      </c>
      <c r="H180" s="15">
        <v>2.7</v>
      </c>
      <c r="I180" s="14" t="s">
        <v>17</v>
      </c>
    </row>
    <row r="181" spans="1:9" ht="12.5">
      <c r="A181" s="16">
        <v>1126772</v>
      </c>
      <c r="B181" s="14" t="s">
        <v>225</v>
      </c>
      <c r="C181" s="17" t="s">
        <v>278</v>
      </c>
      <c r="D181" s="14" t="s">
        <v>1517</v>
      </c>
      <c r="E181" s="14" t="s">
        <v>1518</v>
      </c>
      <c r="F181" s="14" t="s">
        <v>1374</v>
      </c>
      <c r="G181" s="15">
        <v>4.3</v>
      </c>
      <c r="H181" s="15">
        <v>10</v>
      </c>
      <c r="I181" s="18" t="s">
        <v>21</v>
      </c>
    </row>
    <row r="182" spans="1:9" ht="12.5">
      <c r="A182" s="16">
        <v>1005178</v>
      </c>
      <c r="B182" s="17" t="s">
        <v>225</v>
      </c>
      <c r="C182" s="17" t="s">
        <v>226</v>
      </c>
      <c r="D182" s="14" t="s">
        <v>1519</v>
      </c>
      <c r="E182" s="14" t="s">
        <v>1520</v>
      </c>
      <c r="F182" s="14" t="s">
        <v>1324</v>
      </c>
      <c r="G182" s="15">
        <v>4.54</v>
      </c>
      <c r="H182" s="15">
        <v>2.7</v>
      </c>
      <c r="I182" s="18" t="s">
        <v>17</v>
      </c>
    </row>
    <row r="183" spans="1:9" ht="12.5">
      <c r="A183" s="16">
        <v>1247234</v>
      </c>
      <c r="B183" s="17" t="s">
        <v>225</v>
      </c>
      <c r="C183" s="17" t="s">
        <v>235</v>
      </c>
      <c r="D183" s="14" t="s">
        <v>1521</v>
      </c>
      <c r="E183" s="14" t="s">
        <v>1522</v>
      </c>
      <c r="F183" s="14" t="s">
        <v>1523</v>
      </c>
      <c r="G183" s="19">
        <v>4.46</v>
      </c>
      <c r="H183" s="15">
        <v>4.0999999999999996</v>
      </c>
      <c r="I183" s="18" t="s">
        <v>17</v>
      </c>
    </row>
    <row r="184" spans="1:9" ht="12.5">
      <c r="A184" s="16">
        <v>1019882</v>
      </c>
      <c r="B184" s="17" t="s">
        <v>225</v>
      </c>
      <c r="C184" s="17" t="s">
        <v>278</v>
      </c>
      <c r="D184" s="14" t="s">
        <v>1524</v>
      </c>
      <c r="E184" s="14" t="s">
        <v>1525</v>
      </c>
      <c r="F184" s="14" t="s">
        <v>1136</v>
      </c>
      <c r="G184" s="15">
        <v>4.71</v>
      </c>
      <c r="H184" s="15">
        <v>7.7</v>
      </c>
      <c r="I184" s="18" t="s">
        <v>72</v>
      </c>
    </row>
    <row r="185" spans="1:9" ht="12.5">
      <c r="A185" s="16">
        <v>1583340</v>
      </c>
      <c r="B185" s="14" t="s">
        <v>225</v>
      </c>
      <c r="C185" s="17" t="s">
        <v>235</v>
      </c>
      <c r="D185" s="14" t="s">
        <v>1526</v>
      </c>
      <c r="E185" s="14" t="s">
        <v>1527</v>
      </c>
      <c r="F185" s="14" t="s">
        <v>1528</v>
      </c>
      <c r="G185" s="15">
        <v>4.7300000000000004</v>
      </c>
      <c r="H185" s="15">
        <v>6.8</v>
      </c>
      <c r="I185" s="18" t="s">
        <v>17</v>
      </c>
    </row>
    <row r="186" spans="1:9" ht="12.5">
      <c r="A186" s="16">
        <v>1419060</v>
      </c>
      <c r="B186" s="14" t="s">
        <v>225</v>
      </c>
      <c r="C186" s="14" t="s">
        <v>235</v>
      </c>
      <c r="D186" s="14" t="s">
        <v>1529</v>
      </c>
      <c r="E186" s="14" t="s">
        <v>1530</v>
      </c>
      <c r="F186" s="14" t="s">
        <v>1531</v>
      </c>
      <c r="G186" s="15">
        <v>4.55</v>
      </c>
      <c r="H186" s="15">
        <v>5.3</v>
      </c>
      <c r="I186" s="18" t="s">
        <v>17</v>
      </c>
    </row>
    <row r="187" spans="1:9" ht="12.5">
      <c r="A187" s="16">
        <v>794960</v>
      </c>
      <c r="B187" s="14" t="s">
        <v>225</v>
      </c>
      <c r="C187" s="17" t="s">
        <v>278</v>
      </c>
      <c r="D187" s="14" t="s">
        <v>1532</v>
      </c>
      <c r="E187" s="14" t="s">
        <v>1533</v>
      </c>
      <c r="F187" s="14" t="s">
        <v>1374</v>
      </c>
      <c r="G187" s="15">
        <v>4.55</v>
      </c>
      <c r="H187" s="15">
        <v>19</v>
      </c>
      <c r="I187" s="18" t="s">
        <v>21</v>
      </c>
    </row>
    <row r="188" spans="1:9" ht="12.5">
      <c r="A188" s="14">
        <v>1320062</v>
      </c>
      <c r="B188" s="14" t="s">
        <v>225</v>
      </c>
      <c r="C188" s="14" t="s">
        <v>235</v>
      </c>
      <c r="D188" s="14" t="s">
        <v>1534</v>
      </c>
      <c r="E188" s="14" t="s">
        <v>1535</v>
      </c>
      <c r="F188" s="14" t="s">
        <v>1536</v>
      </c>
      <c r="G188" s="15">
        <v>4.09</v>
      </c>
      <c r="H188" s="15">
        <v>3</v>
      </c>
      <c r="I188" s="14" t="s">
        <v>17</v>
      </c>
    </row>
    <row r="189" spans="1:9" ht="12.5">
      <c r="A189" s="14">
        <v>947230</v>
      </c>
      <c r="B189" s="14" t="s">
        <v>225</v>
      </c>
      <c r="C189" s="14" t="s">
        <v>278</v>
      </c>
      <c r="D189" s="14" t="s">
        <v>1537</v>
      </c>
      <c r="E189" s="14" t="s">
        <v>1538</v>
      </c>
      <c r="F189" s="14" t="s">
        <v>1302</v>
      </c>
      <c r="G189" s="15">
        <v>4.41</v>
      </c>
      <c r="H189" s="15">
        <v>5.3</v>
      </c>
      <c r="I189" s="14" t="s">
        <v>17</v>
      </c>
    </row>
    <row r="190" spans="1:9" ht="12.5">
      <c r="A190" s="16">
        <v>2509572</v>
      </c>
      <c r="B190" s="17" t="s">
        <v>225</v>
      </c>
      <c r="C190" s="17" t="s">
        <v>226</v>
      </c>
      <c r="D190" s="14" t="s">
        <v>1539</v>
      </c>
      <c r="E190" s="14" t="s">
        <v>1540</v>
      </c>
      <c r="F190" s="14" t="s">
        <v>1541</v>
      </c>
      <c r="G190" s="15">
        <v>4.58</v>
      </c>
      <c r="H190" s="15">
        <v>8.8000000000000007</v>
      </c>
      <c r="I190" s="18" t="s">
        <v>72</v>
      </c>
    </row>
    <row r="191" spans="1:9" ht="12.5">
      <c r="A191" s="14">
        <v>720508</v>
      </c>
      <c r="B191" s="14" t="s">
        <v>225</v>
      </c>
      <c r="C191" s="14" t="s">
        <v>278</v>
      </c>
      <c r="D191" s="14" t="s">
        <v>1542</v>
      </c>
      <c r="E191" s="14" t="s">
        <v>1543</v>
      </c>
      <c r="F191" s="14" t="s">
        <v>1271</v>
      </c>
      <c r="G191" s="15">
        <v>3.67</v>
      </c>
      <c r="H191" s="15">
        <v>2.6</v>
      </c>
      <c r="I191" s="14" t="s">
        <v>21</v>
      </c>
    </row>
    <row r="192" spans="1:9" ht="12.5">
      <c r="A192" s="16">
        <v>1152720</v>
      </c>
      <c r="B192" s="17" t="s">
        <v>225</v>
      </c>
      <c r="C192" s="17" t="s">
        <v>278</v>
      </c>
      <c r="D192" s="14" t="s">
        <v>1544</v>
      </c>
      <c r="E192" s="14" t="s">
        <v>1545</v>
      </c>
      <c r="F192" s="14" t="s">
        <v>1546</v>
      </c>
      <c r="G192" s="15">
        <v>4.09</v>
      </c>
      <c r="H192" s="15">
        <v>18.899999999999999</v>
      </c>
      <c r="I192" s="18" t="s">
        <v>17</v>
      </c>
    </row>
    <row r="193" spans="1:9" ht="12.5">
      <c r="A193" s="14">
        <v>670618</v>
      </c>
      <c r="B193" s="14" t="s">
        <v>225</v>
      </c>
      <c r="C193" s="14" t="s">
        <v>278</v>
      </c>
      <c r="D193" s="14" t="s">
        <v>1547</v>
      </c>
      <c r="E193" s="14" t="s">
        <v>1548</v>
      </c>
      <c r="F193" s="14" t="s">
        <v>1136</v>
      </c>
      <c r="G193" s="15">
        <v>4.49</v>
      </c>
      <c r="H193" s="15">
        <v>3.2</v>
      </c>
      <c r="I193" s="14" t="s">
        <v>21</v>
      </c>
    </row>
    <row r="194" spans="1:9" ht="12.5">
      <c r="A194" s="14">
        <v>3506882</v>
      </c>
      <c r="B194" s="14" t="s">
        <v>225</v>
      </c>
      <c r="C194" s="14" t="s">
        <v>226</v>
      </c>
      <c r="D194" s="14" t="s">
        <v>1549</v>
      </c>
      <c r="E194" s="14" t="s">
        <v>1550</v>
      </c>
      <c r="F194" s="14" t="s">
        <v>1302</v>
      </c>
      <c r="G194" s="15">
        <v>4.6900000000000004</v>
      </c>
      <c r="H194" s="15">
        <v>9.3000000000000007</v>
      </c>
      <c r="I194" s="14" t="s">
        <v>21</v>
      </c>
    </row>
    <row r="195" spans="1:9" ht="12.5">
      <c r="A195" s="16">
        <v>2190604</v>
      </c>
      <c r="B195" s="14" t="s">
        <v>225</v>
      </c>
      <c r="C195" s="14" t="s">
        <v>229</v>
      </c>
      <c r="D195" s="14" t="s">
        <v>1551</v>
      </c>
      <c r="E195" s="14" t="s">
        <v>1552</v>
      </c>
      <c r="F195" s="14" t="s">
        <v>1202</v>
      </c>
      <c r="G195" s="15">
        <v>4.49</v>
      </c>
      <c r="H195" s="15">
        <v>3.8</v>
      </c>
      <c r="I195" s="18" t="s">
        <v>259</v>
      </c>
    </row>
    <row r="196" spans="1:9" ht="12.5">
      <c r="A196" s="14">
        <v>1316528</v>
      </c>
      <c r="B196" s="14" t="s">
        <v>225</v>
      </c>
      <c r="C196" s="14" t="s">
        <v>278</v>
      </c>
      <c r="D196" s="14" t="s">
        <v>1553</v>
      </c>
      <c r="E196" s="14" t="s">
        <v>1554</v>
      </c>
      <c r="F196" s="14" t="s">
        <v>1302</v>
      </c>
      <c r="G196" s="15">
        <v>5</v>
      </c>
      <c r="H196" s="15">
        <v>30.9</v>
      </c>
      <c r="I196" s="14" t="s">
        <v>21</v>
      </c>
    </row>
    <row r="197" spans="1:9" ht="12.5">
      <c r="A197" s="16">
        <v>715992</v>
      </c>
      <c r="B197" s="17" t="s">
        <v>225</v>
      </c>
      <c r="C197" s="17" t="s">
        <v>278</v>
      </c>
      <c r="D197" s="14" t="s">
        <v>1555</v>
      </c>
      <c r="E197" s="14" t="s">
        <v>1556</v>
      </c>
      <c r="F197" s="14" t="s">
        <v>1136</v>
      </c>
      <c r="G197" s="15">
        <v>4.58</v>
      </c>
      <c r="H197" s="15">
        <v>16.100000000000001</v>
      </c>
      <c r="I197" s="18" t="s">
        <v>72</v>
      </c>
    </row>
    <row r="198" spans="1:9" ht="12.5">
      <c r="A198" s="14">
        <v>846406</v>
      </c>
      <c r="B198" s="14" t="s">
        <v>225</v>
      </c>
      <c r="C198" s="14" t="s">
        <v>235</v>
      </c>
      <c r="D198" s="14" t="s">
        <v>1557</v>
      </c>
      <c r="E198" s="14" t="s">
        <v>1558</v>
      </c>
      <c r="F198" s="14" t="s">
        <v>1136</v>
      </c>
      <c r="G198" s="15">
        <v>4.22</v>
      </c>
      <c r="H198" s="15">
        <v>10</v>
      </c>
      <c r="I198" s="14" t="s">
        <v>72</v>
      </c>
    </row>
    <row r="199" spans="1:9" ht="12.5">
      <c r="A199" s="16">
        <v>3206347</v>
      </c>
      <c r="B199" s="14" t="s">
        <v>557</v>
      </c>
      <c r="C199" s="17" t="s">
        <v>558</v>
      </c>
      <c r="D199" s="14" t="s">
        <v>1559</v>
      </c>
      <c r="E199" s="14" t="s">
        <v>1560</v>
      </c>
      <c r="F199" s="14" t="s">
        <v>1561</v>
      </c>
      <c r="G199" s="15">
        <v>4.63</v>
      </c>
      <c r="H199" s="15">
        <v>2.7</v>
      </c>
      <c r="I199" s="18" t="s">
        <v>21</v>
      </c>
    </row>
    <row r="200" spans="1:9" ht="12.5">
      <c r="A200" s="16">
        <v>2212196</v>
      </c>
      <c r="B200" s="17" t="s">
        <v>557</v>
      </c>
      <c r="C200" s="17" t="s">
        <v>558</v>
      </c>
      <c r="D200" s="14" t="s">
        <v>1562</v>
      </c>
      <c r="E200" s="14" t="s">
        <v>1563</v>
      </c>
      <c r="F200" s="14" t="s">
        <v>1564</v>
      </c>
      <c r="G200" s="15">
        <v>4.6100000000000003</v>
      </c>
      <c r="H200" s="15">
        <v>2.2000000000000002</v>
      </c>
      <c r="I200" s="18" t="s">
        <v>17</v>
      </c>
    </row>
    <row r="201" spans="1:9" ht="12.5">
      <c r="A201" s="16">
        <v>2226184</v>
      </c>
      <c r="B201" s="14" t="s">
        <v>557</v>
      </c>
      <c r="C201" s="17" t="s">
        <v>1565</v>
      </c>
      <c r="D201" s="14" t="s">
        <v>1566</v>
      </c>
      <c r="E201" s="14" t="s">
        <v>1567</v>
      </c>
      <c r="F201" s="14" t="s">
        <v>1568</v>
      </c>
      <c r="G201" s="15">
        <v>4.26</v>
      </c>
      <c r="H201" s="15">
        <v>2.8</v>
      </c>
      <c r="I201" s="18" t="s">
        <v>17</v>
      </c>
    </row>
    <row r="202" spans="1:9" ht="12.5">
      <c r="A202" s="16">
        <v>1400450</v>
      </c>
      <c r="B202" s="17" t="s">
        <v>557</v>
      </c>
      <c r="C202" s="17" t="s">
        <v>565</v>
      </c>
      <c r="D202" s="14" t="s">
        <v>1569</v>
      </c>
      <c r="E202" s="14" t="s">
        <v>1569</v>
      </c>
      <c r="F202" s="14" t="s">
        <v>1570</v>
      </c>
      <c r="G202" s="15">
        <v>4.72</v>
      </c>
      <c r="H202" s="15">
        <v>6.1</v>
      </c>
      <c r="I202" s="18" t="s">
        <v>72</v>
      </c>
    </row>
    <row r="203" spans="1:9" ht="12.5">
      <c r="A203" s="16">
        <v>752372</v>
      </c>
      <c r="B203" s="17" t="s">
        <v>557</v>
      </c>
      <c r="C203" s="17" t="s">
        <v>1565</v>
      </c>
      <c r="D203" s="14" t="s">
        <v>1571</v>
      </c>
      <c r="E203" s="14" t="s">
        <v>1572</v>
      </c>
      <c r="F203" s="14" t="s">
        <v>1573</v>
      </c>
      <c r="G203" s="15">
        <v>4.5599999999999996</v>
      </c>
      <c r="H203" s="15">
        <v>1.8</v>
      </c>
      <c r="I203" s="18" t="s">
        <v>21</v>
      </c>
    </row>
    <row r="204" spans="1:9" ht="12.5">
      <c r="A204" s="16">
        <v>1870598</v>
      </c>
      <c r="B204" s="14" t="s">
        <v>557</v>
      </c>
      <c r="C204" s="17" t="s">
        <v>1565</v>
      </c>
      <c r="D204" s="14" t="s">
        <v>1574</v>
      </c>
      <c r="E204" s="14" t="s">
        <v>1575</v>
      </c>
      <c r="F204" s="14" t="s">
        <v>1568</v>
      </c>
      <c r="G204" s="15">
        <v>4.29</v>
      </c>
      <c r="H204" s="15">
        <v>2.7</v>
      </c>
      <c r="I204" s="18" t="s">
        <v>17</v>
      </c>
    </row>
    <row r="205" spans="1:9" ht="12.5">
      <c r="A205" s="16">
        <v>1427034</v>
      </c>
      <c r="B205" s="14" t="s">
        <v>557</v>
      </c>
      <c r="C205" s="17" t="s">
        <v>558</v>
      </c>
      <c r="D205" s="14" t="s">
        <v>1576</v>
      </c>
      <c r="E205" s="14" t="s">
        <v>1577</v>
      </c>
      <c r="F205" s="14" t="s">
        <v>1578</v>
      </c>
      <c r="G205" s="15">
        <v>4.41</v>
      </c>
      <c r="H205" s="15">
        <v>5.6</v>
      </c>
      <c r="I205" s="18" t="s">
        <v>17</v>
      </c>
    </row>
    <row r="206" spans="1:9" ht="12.5">
      <c r="A206" s="14">
        <v>1112962</v>
      </c>
      <c r="B206" s="14" t="s">
        <v>557</v>
      </c>
      <c r="C206" s="14" t="s">
        <v>1565</v>
      </c>
      <c r="D206" s="14" t="s">
        <v>1579</v>
      </c>
      <c r="E206" s="14" t="s">
        <v>1580</v>
      </c>
      <c r="F206" s="14" t="s">
        <v>1581</v>
      </c>
      <c r="G206" s="15">
        <v>3.86</v>
      </c>
      <c r="H206" s="15">
        <v>7.4</v>
      </c>
      <c r="I206" s="14" t="s">
        <v>17</v>
      </c>
    </row>
    <row r="207" spans="1:9" ht="12.5">
      <c r="A207" s="16">
        <v>632368</v>
      </c>
      <c r="B207" s="17" t="s">
        <v>557</v>
      </c>
      <c r="C207" s="17" t="s">
        <v>1565</v>
      </c>
      <c r="D207" s="14" t="s">
        <v>1582</v>
      </c>
      <c r="E207" s="14" t="s">
        <v>1583</v>
      </c>
      <c r="F207" s="14" t="s">
        <v>1584</v>
      </c>
      <c r="G207" s="15">
        <v>4.3499999999999996</v>
      </c>
      <c r="H207" s="15">
        <v>0.6</v>
      </c>
      <c r="I207" s="18" t="s">
        <v>17</v>
      </c>
    </row>
    <row r="208" spans="1:9" ht="12.5">
      <c r="A208" s="16">
        <v>1247928</v>
      </c>
      <c r="B208" s="17" t="s">
        <v>557</v>
      </c>
      <c r="C208" s="17" t="s">
        <v>558</v>
      </c>
      <c r="D208" s="14" t="s">
        <v>1585</v>
      </c>
      <c r="E208" s="14" t="s">
        <v>1586</v>
      </c>
      <c r="F208" s="14" t="s">
        <v>1587</v>
      </c>
      <c r="G208" s="15">
        <v>4.4400000000000004</v>
      </c>
      <c r="H208" s="15">
        <v>2</v>
      </c>
      <c r="I208" s="18" t="s">
        <v>17</v>
      </c>
    </row>
    <row r="209" spans="1:9" ht="12.5">
      <c r="A209" s="14">
        <v>2662904</v>
      </c>
      <c r="B209" s="14" t="s">
        <v>557</v>
      </c>
      <c r="C209" s="14" t="s">
        <v>558</v>
      </c>
      <c r="D209" s="14" t="s">
        <v>1588</v>
      </c>
      <c r="E209" s="14" t="s">
        <v>1589</v>
      </c>
      <c r="F209" s="14" t="s">
        <v>1590</v>
      </c>
      <c r="G209" s="15">
        <v>4.2</v>
      </c>
      <c r="H209" s="15">
        <v>9.6</v>
      </c>
      <c r="I209" s="14" t="s">
        <v>17</v>
      </c>
    </row>
    <row r="210" spans="1:9" ht="12.5">
      <c r="A210" s="16">
        <v>1517076</v>
      </c>
      <c r="B210" s="17" t="s">
        <v>557</v>
      </c>
      <c r="C210" s="17" t="s">
        <v>1565</v>
      </c>
      <c r="D210" s="14" t="s">
        <v>1591</v>
      </c>
      <c r="E210" s="14" t="s">
        <v>1592</v>
      </c>
      <c r="F210" s="14" t="s">
        <v>1593</v>
      </c>
      <c r="G210" s="19">
        <v>4.3600000000000003</v>
      </c>
      <c r="H210" s="15">
        <v>1.7</v>
      </c>
      <c r="I210" s="18" t="s">
        <v>72</v>
      </c>
    </row>
    <row r="211" spans="1:9" ht="12.5">
      <c r="A211" s="16">
        <v>3441820</v>
      </c>
      <c r="B211" s="14" t="s">
        <v>557</v>
      </c>
      <c r="C211" s="17" t="s">
        <v>1565</v>
      </c>
      <c r="D211" s="14" t="s">
        <v>1594</v>
      </c>
      <c r="E211" s="14" t="s">
        <v>1595</v>
      </c>
      <c r="F211" s="14" t="s">
        <v>1570</v>
      </c>
      <c r="G211" s="15">
        <v>4.7</v>
      </c>
      <c r="H211" s="15">
        <v>3.8</v>
      </c>
      <c r="I211" s="18" t="s">
        <v>17</v>
      </c>
    </row>
    <row r="212" spans="1:9" ht="12.5">
      <c r="A212" s="14">
        <v>1637926</v>
      </c>
      <c r="B212" s="14" t="s">
        <v>557</v>
      </c>
      <c r="C212" s="14" t="s">
        <v>558</v>
      </c>
      <c r="D212" s="14" t="s">
        <v>1596</v>
      </c>
      <c r="E212" s="14" t="s">
        <v>1597</v>
      </c>
      <c r="F212" s="14" t="s">
        <v>1109</v>
      </c>
      <c r="G212" s="15">
        <v>4.38</v>
      </c>
      <c r="H212" s="15">
        <v>20.2</v>
      </c>
      <c r="I212" s="18" t="s">
        <v>17</v>
      </c>
    </row>
    <row r="213" spans="1:9" ht="12.5">
      <c r="A213" s="14">
        <v>1172370</v>
      </c>
      <c r="B213" s="14" t="s">
        <v>557</v>
      </c>
      <c r="C213" s="14" t="s">
        <v>1565</v>
      </c>
      <c r="D213" s="14" t="s">
        <v>1598</v>
      </c>
      <c r="E213" s="14" t="s">
        <v>1599</v>
      </c>
      <c r="F213" s="14" t="s">
        <v>1570</v>
      </c>
      <c r="G213" s="15">
        <v>4.1900000000000004</v>
      </c>
      <c r="H213" s="15">
        <v>3</v>
      </c>
      <c r="I213" s="14" t="s">
        <v>17</v>
      </c>
    </row>
    <row r="214" spans="1:9" ht="12.5">
      <c r="A214" s="14">
        <v>1743014</v>
      </c>
      <c r="B214" s="14" t="s">
        <v>557</v>
      </c>
      <c r="C214" s="14" t="s">
        <v>558</v>
      </c>
      <c r="D214" s="14" t="s">
        <v>1600</v>
      </c>
      <c r="E214" s="14" t="s">
        <v>1601</v>
      </c>
      <c r="F214" s="14" t="s">
        <v>1602</v>
      </c>
      <c r="G214" s="15">
        <v>3.55</v>
      </c>
      <c r="H214" s="15">
        <v>1.8</v>
      </c>
      <c r="I214" s="14" t="s">
        <v>17</v>
      </c>
    </row>
    <row r="215" spans="1:9" ht="12.5">
      <c r="A215" s="16">
        <v>2106770</v>
      </c>
      <c r="B215" s="14" t="s">
        <v>557</v>
      </c>
      <c r="C215" s="14" t="s">
        <v>1603</v>
      </c>
      <c r="D215" s="14" t="s">
        <v>1604</v>
      </c>
      <c r="E215" s="14" t="s">
        <v>1604</v>
      </c>
      <c r="F215" s="14" t="s">
        <v>1605</v>
      </c>
      <c r="G215" s="15">
        <v>4.62</v>
      </c>
      <c r="H215" s="15">
        <v>2.8</v>
      </c>
      <c r="I215" s="18" t="s">
        <v>17</v>
      </c>
    </row>
    <row r="216" spans="1:9" ht="12.5">
      <c r="A216" s="14">
        <v>1160930</v>
      </c>
      <c r="B216" s="14" t="s">
        <v>597</v>
      </c>
      <c r="C216" s="14" t="s">
        <v>598</v>
      </c>
      <c r="D216" s="14" t="s">
        <v>1606</v>
      </c>
      <c r="E216" s="14" t="s">
        <v>1607</v>
      </c>
      <c r="F216" s="14" t="s">
        <v>1608</v>
      </c>
      <c r="G216" s="15">
        <v>4.46</v>
      </c>
      <c r="H216" s="15">
        <v>21.2</v>
      </c>
      <c r="I216" s="14" t="s">
        <v>21</v>
      </c>
    </row>
    <row r="217" spans="1:9" ht="12.5">
      <c r="A217" s="16">
        <v>1083882</v>
      </c>
      <c r="B217" s="14" t="s">
        <v>597</v>
      </c>
      <c r="C217" s="14" t="s">
        <v>601</v>
      </c>
      <c r="D217" s="14" t="s">
        <v>1609</v>
      </c>
      <c r="E217" s="14" t="s">
        <v>1610</v>
      </c>
      <c r="F217" s="14" t="s">
        <v>1608</v>
      </c>
      <c r="G217" s="15">
        <v>4.54</v>
      </c>
      <c r="H217" s="15">
        <v>24.7</v>
      </c>
      <c r="I217" s="18" t="s">
        <v>17</v>
      </c>
    </row>
    <row r="218" spans="1:9" ht="12.5">
      <c r="A218" s="16">
        <v>1431146</v>
      </c>
      <c r="B218" s="17" t="s">
        <v>597</v>
      </c>
      <c r="C218" s="17" t="s">
        <v>604</v>
      </c>
      <c r="D218" s="14" t="s">
        <v>1611</v>
      </c>
      <c r="E218" s="14" t="s">
        <v>1612</v>
      </c>
      <c r="F218" s="14" t="s">
        <v>1608</v>
      </c>
      <c r="G218" s="15">
        <v>4.53</v>
      </c>
      <c r="H218" s="15">
        <v>29.5</v>
      </c>
      <c r="I218" s="18" t="s">
        <v>17</v>
      </c>
    </row>
    <row r="219" spans="1:9" ht="12.5">
      <c r="A219" s="16">
        <v>1160810</v>
      </c>
      <c r="B219" s="17" t="s">
        <v>597</v>
      </c>
      <c r="C219" s="17" t="s">
        <v>598</v>
      </c>
      <c r="D219" s="14" t="s">
        <v>1613</v>
      </c>
      <c r="E219" s="14" t="s">
        <v>1614</v>
      </c>
      <c r="F219" s="14" t="s">
        <v>1608</v>
      </c>
      <c r="G219" s="15">
        <v>4.4800000000000004</v>
      </c>
      <c r="H219" s="15">
        <v>10.4</v>
      </c>
      <c r="I219" s="18" t="s">
        <v>21</v>
      </c>
    </row>
    <row r="220" spans="1:9" ht="12.5">
      <c r="A220" s="16">
        <v>1360976</v>
      </c>
      <c r="B220" s="17" t="s">
        <v>597</v>
      </c>
      <c r="C220" s="17" t="s">
        <v>598</v>
      </c>
      <c r="D220" s="14" t="s">
        <v>1615</v>
      </c>
      <c r="E220" s="14" t="s">
        <v>1616</v>
      </c>
      <c r="F220" s="14" t="s">
        <v>1608</v>
      </c>
      <c r="G220" s="15">
        <v>4.29</v>
      </c>
      <c r="H220" s="15">
        <v>13.5</v>
      </c>
      <c r="I220" s="18" t="s">
        <v>72</v>
      </c>
    </row>
    <row r="221" spans="1:9" ht="12.5">
      <c r="A221" s="14">
        <v>1636508</v>
      </c>
      <c r="B221" s="14" t="s">
        <v>597</v>
      </c>
      <c r="C221" s="14" t="s">
        <v>604</v>
      </c>
      <c r="D221" s="14" t="s">
        <v>1617</v>
      </c>
      <c r="E221" s="14" t="s">
        <v>1618</v>
      </c>
      <c r="F221" s="14" t="s">
        <v>1619</v>
      </c>
      <c r="G221" s="15">
        <v>4.53</v>
      </c>
      <c r="H221" s="15">
        <v>3.8</v>
      </c>
      <c r="I221" s="14" t="s">
        <v>21</v>
      </c>
    </row>
    <row r="222" spans="1:9" ht="12.5">
      <c r="A222" s="16">
        <v>2648276</v>
      </c>
      <c r="B222" s="14" t="s">
        <v>597</v>
      </c>
      <c r="C222" s="17" t="s">
        <v>604</v>
      </c>
      <c r="D222" s="14" t="s">
        <v>1620</v>
      </c>
      <c r="E222" s="14" t="s">
        <v>1621</v>
      </c>
      <c r="F222" s="14" t="s">
        <v>1093</v>
      </c>
      <c r="G222" s="15">
        <v>4.87</v>
      </c>
      <c r="H222" s="15">
        <v>6.9</v>
      </c>
      <c r="I222" s="18" t="s">
        <v>17</v>
      </c>
    </row>
    <row r="223" spans="1:9" ht="12.5">
      <c r="A223" s="14">
        <v>2884096</v>
      </c>
      <c r="B223" s="14" t="s">
        <v>597</v>
      </c>
      <c r="C223" s="14" t="s">
        <v>601</v>
      </c>
      <c r="D223" s="14" t="s">
        <v>1622</v>
      </c>
      <c r="E223" s="14" t="s">
        <v>1623</v>
      </c>
      <c r="F223" s="14" t="s">
        <v>1624</v>
      </c>
      <c r="G223" s="15">
        <v>4.43</v>
      </c>
      <c r="H223" s="15">
        <v>1.3</v>
      </c>
      <c r="I223" s="14" t="s">
        <v>17</v>
      </c>
    </row>
    <row r="224" spans="1:9" ht="12.5">
      <c r="A224" s="14">
        <v>1377566</v>
      </c>
      <c r="B224" s="14" t="s">
        <v>597</v>
      </c>
      <c r="C224" s="14" t="s">
        <v>598</v>
      </c>
      <c r="D224" s="14" t="s">
        <v>1625</v>
      </c>
      <c r="E224" s="14" t="s">
        <v>1626</v>
      </c>
      <c r="F224" s="14" t="s">
        <v>1608</v>
      </c>
      <c r="G224" s="15">
        <v>4.62</v>
      </c>
      <c r="H224" s="15">
        <v>11.7</v>
      </c>
      <c r="I224" s="14" t="s">
        <v>17</v>
      </c>
    </row>
    <row r="225" spans="1:9" ht="12.5">
      <c r="A225" s="14">
        <v>777208</v>
      </c>
      <c r="B225" s="14" t="s">
        <v>597</v>
      </c>
      <c r="C225" s="14" t="s">
        <v>604</v>
      </c>
      <c r="D225" s="14" t="s">
        <v>1627</v>
      </c>
      <c r="E225" s="14" t="s">
        <v>1628</v>
      </c>
      <c r="F225" s="14" t="s">
        <v>1093</v>
      </c>
      <c r="G225" s="15">
        <v>4.57</v>
      </c>
      <c r="H225" s="15">
        <v>4.9000000000000004</v>
      </c>
      <c r="I225" s="14" t="s">
        <v>21</v>
      </c>
    </row>
    <row r="226" spans="1:9" ht="12.5">
      <c r="A226" s="14">
        <v>958608</v>
      </c>
      <c r="B226" s="14" t="s">
        <v>597</v>
      </c>
      <c r="C226" s="14" t="s">
        <v>598</v>
      </c>
      <c r="D226" s="14" t="s">
        <v>1629</v>
      </c>
      <c r="E226" s="14" t="s">
        <v>1630</v>
      </c>
      <c r="F226" s="14" t="s">
        <v>1608</v>
      </c>
      <c r="G226" s="15">
        <v>4.7699999999999996</v>
      </c>
      <c r="H226" s="15">
        <v>3</v>
      </c>
      <c r="I226" s="14" t="s">
        <v>21</v>
      </c>
    </row>
    <row r="227" spans="1:9" ht="12.5">
      <c r="A227" s="16">
        <v>2063191</v>
      </c>
      <c r="B227" s="14" t="s">
        <v>597</v>
      </c>
      <c r="C227" s="17" t="s">
        <v>604</v>
      </c>
      <c r="D227" s="14" t="s">
        <v>1631</v>
      </c>
      <c r="E227" s="14" t="s">
        <v>1632</v>
      </c>
      <c r="F227" s="14" t="s">
        <v>1619</v>
      </c>
      <c r="G227" s="19">
        <v>4.6900000000000004</v>
      </c>
      <c r="H227" s="15">
        <v>6</v>
      </c>
      <c r="I227" s="18" t="s">
        <v>21</v>
      </c>
    </row>
    <row r="228" spans="1:9" ht="12.5">
      <c r="A228" s="14">
        <v>1442826</v>
      </c>
      <c r="B228" s="14" t="s">
        <v>597</v>
      </c>
      <c r="C228" s="14" t="s">
        <v>604</v>
      </c>
      <c r="D228" s="14" t="s">
        <v>1633</v>
      </c>
      <c r="E228" s="14" t="s">
        <v>1633</v>
      </c>
      <c r="F228" s="14" t="s">
        <v>1619</v>
      </c>
      <c r="G228" s="15">
        <v>4.51</v>
      </c>
      <c r="H228" s="15">
        <v>3.6</v>
      </c>
      <c r="I228" s="14" t="s">
        <v>21</v>
      </c>
    </row>
    <row r="229" spans="1:9" ht="12.5">
      <c r="A229" s="16">
        <v>959418</v>
      </c>
      <c r="B229" s="17" t="s">
        <v>597</v>
      </c>
      <c r="C229" s="17" t="s">
        <v>598</v>
      </c>
      <c r="D229" s="14" t="s">
        <v>1634</v>
      </c>
      <c r="E229" s="14" t="s">
        <v>1635</v>
      </c>
      <c r="F229" s="14" t="s">
        <v>1608</v>
      </c>
      <c r="G229" s="15">
        <v>4.46</v>
      </c>
      <c r="H229" s="15">
        <v>3.4</v>
      </c>
      <c r="I229" s="18" t="s">
        <v>72</v>
      </c>
    </row>
    <row r="230" spans="1:9" ht="12.5">
      <c r="A230" s="16">
        <v>2147662</v>
      </c>
      <c r="B230" s="17" t="s">
        <v>597</v>
      </c>
      <c r="C230" s="17" t="s">
        <v>1636</v>
      </c>
      <c r="D230" s="14" t="s">
        <v>1637</v>
      </c>
      <c r="E230" s="14" t="s">
        <v>1638</v>
      </c>
      <c r="F230" s="14" t="s">
        <v>1639</v>
      </c>
      <c r="G230" s="15">
        <v>3.94</v>
      </c>
      <c r="H230" s="15">
        <v>2.2999999999999998</v>
      </c>
      <c r="I230" s="18" t="s">
        <v>21</v>
      </c>
    </row>
    <row r="231" spans="1:9" ht="12.5">
      <c r="A231" s="16">
        <v>1393876</v>
      </c>
      <c r="B231" s="17" t="s">
        <v>597</v>
      </c>
      <c r="C231" s="17" t="s">
        <v>598</v>
      </c>
      <c r="D231" s="14" t="s">
        <v>1640</v>
      </c>
      <c r="E231" s="14" t="s">
        <v>1641</v>
      </c>
      <c r="F231" s="14" t="s">
        <v>1619</v>
      </c>
      <c r="G231" s="15">
        <v>4.47</v>
      </c>
      <c r="H231" s="15">
        <v>3.1</v>
      </c>
      <c r="I231" s="18" t="s">
        <v>21</v>
      </c>
    </row>
    <row r="232" spans="1:9" ht="12.5">
      <c r="A232" s="16">
        <v>2159128</v>
      </c>
      <c r="B232" s="17" t="s">
        <v>597</v>
      </c>
      <c r="C232" s="17" t="s">
        <v>598</v>
      </c>
      <c r="D232" s="14" t="s">
        <v>1642</v>
      </c>
      <c r="E232" s="14" t="s">
        <v>1643</v>
      </c>
      <c r="F232" s="14" t="s">
        <v>1093</v>
      </c>
      <c r="G232" s="15">
        <v>4.66</v>
      </c>
      <c r="H232" s="15">
        <v>10.5</v>
      </c>
      <c r="I232" s="18" t="s">
        <v>21</v>
      </c>
    </row>
    <row r="233" spans="1:9" ht="12.5">
      <c r="A233" s="16">
        <v>949012</v>
      </c>
      <c r="B233" s="17" t="s">
        <v>597</v>
      </c>
      <c r="C233" s="17" t="s">
        <v>598</v>
      </c>
      <c r="D233" s="14" t="s">
        <v>1644</v>
      </c>
      <c r="E233" s="14" t="s">
        <v>1645</v>
      </c>
      <c r="F233" s="14" t="s">
        <v>1608</v>
      </c>
      <c r="G233" s="15">
        <v>4.76</v>
      </c>
      <c r="H233" s="15">
        <v>16</v>
      </c>
      <c r="I233" s="18" t="s">
        <v>21</v>
      </c>
    </row>
    <row r="234" spans="1:9" ht="12.5">
      <c r="A234" s="16">
        <v>1128160</v>
      </c>
      <c r="B234" s="17" t="s">
        <v>597</v>
      </c>
      <c r="C234" s="17" t="s">
        <v>649</v>
      </c>
      <c r="D234" s="14" t="s">
        <v>1646</v>
      </c>
      <c r="E234" s="14" t="s">
        <v>1647</v>
      </c>
      <c r="F234" s="14" t="s">
        <v>1093</v>
      </c>
      <c r="G234" s="15">
        <v>4.43</v>
      </c>
      <c r="H234" s="15">
        <v>7.8</v>
      </c>
      <c r="I234" s="18" t="s">
        <v>17</v>
      </c>
    </row>
    <row r="235" spans="1:9" ht="12.5">
      <c r="A235" s="16">
        <v>1690424</v>
      </c>
      <c r="B235" s="17" t="s">
        <v>597</v>
      </c>
      <c r="C235" s="17" t="s">
        <v>598</v>
      </c>
      <c r="D235" s="14" t="s">
        <v>1648</v>
      </c>
      <c r="E235" s="14" t="s">
        <v>1649</v>
      </c>
      <c r="F235" s="14" t="s">
        <v>1619</v>
      </c>
      <c r="G235" s="15">
        <v>4.51</v>
      </c>
      <c r="H235" s="15">
        <v>7.5</v>
      </c>
      <c r="I235" s="18" t="s">
        <v>21</v>
      </c>
    </row>
    <row r="236" spans="1:9" ht="12.5">
      <c r="A236" s="16">
        <v>1690182</v>
      </c>
      <c r="B236" s="17" t="s">
        <v>597</v>
      </c>
      <c r="C236" s="17" t="s">
        <v>598</v>
      </c>
      <c r="D236" s="14" t="s">
        <v>1650</v>
      </c>
      <c r="E236" s="14" t="s">
        <v>1651</v>
      </c>
      <c r="F236" s="14" t="s">
        <v>1318</v>
      </c>
      <c r="G236" s="15">
        <v>3.78</v>
      </c>
      <c r="H236" s="15">
        <v>12.3</v>
      </c>
      <c r="I236" s="18" t="s">
        <v>21</v>
      </c>
    </row>
    <row r="237" spans="1:9" ht="12.5">
      <c r="A237" s="16">
        <v>1099486</v>
      </c>
      <c r="B237" s="17" t="s">
        <v>597</v>
      </c>
      <c r="C237" s="17" t="s">
        <v>604</v>
      </c>
      <c r="D237" s="14" t="s">
        <v>1652</v>
      </c>
      <c r="E237" s="14" t="s">
        <v>1653</v>
      </c>
      <c r="F237" s="14" t="s">
        <v>1093</v>
      </c>
      <c r="G237" s="15">
        <v>4.71</v>
      </c>
      <c r="H237" s="15">
        <v>2</v>
      </c>
      <c r="I237" s="18" t="s">
        <v>21</v>
      </c>
    </row>
    <row r="238" spans="1:9" ht="12.5">
      <c r="A238" s="16">
        <v>978956</v>
      </c>
      <c r="B238" s="17" t="s">
        <v>597</v>
      </c>
      <c r="C238" s="17" t="s">
        <v>604</v>
      </c>
      <c r="D238" s="14" t="s">
        <v>1654</v>
      </c>
      <c r="E238" s="14" t="s">
        <v>1655</v>
      </c>
      <c r="F238" s="14" t="s">
        <v>1656</v>
      </c>
      <c r="G238" s="15">
        <v>4.4400000000000004</v>
      </c>
      <c r="H238" s="15">
        <v>1.5</v>
      </c>
      <c r="I238" s="18" t="s">
        <v>21</v>
      </c>
    </row>
    <row r="239" spans="1:9" ht="12.5">
      <c r="A239" s="16">
        <v>958698</v>
      </c>
      <c r="B239" s="17" t="s">
        <v>597</v>
      </c>
      <c r="C239" s="17" t="s">
        <v>604</v>
      </c>
      <c r="D239" s="14" t="s">
        <v>1657</v>
      </c>
      <c r="E239" s="14" t="s">
        <v>1658</v>
      </c>
      <c r="F239" s="14" t="s">
        <v>1093</v>
      </c>
      <c r="G239" s="15">
        <v>4.3600000000000003</v>
      </c>
      <c r="H239" s="15">
        <v>5.9</v>
      </c>
      <c r="I239" s="18" t="s">
        <v>21</v>
      </c>
    </row>
    <row r="240" spans="1:9" ht="12.5">
      <c r="A240" s="14">
        <v>1164004</v>
      </c>
      <c r="B240" s="14" t="s">
        <v>597</v>
      </c>
      <c r="C240" s="14" t="s">
        <v>598</v>
      </c>
      <c r="D240" s="14" t="s">
        <v>1659</v>
      </c>
      <c r="E240" s="14" t="s">
        <v>1660</v>
      </c>
      <c r="F240" s="14" t="s">
        <v>1608</v>
      </c>
      <c r="G240" s="15">
        <v>4.7</v>
      </c>
      <c r="H240" s="15">
        <v>8</v>
      </c>
      <c r="I240" s="14" t="s">
        <v>21</v>
      </c>
    </row>
    <row r="241" spans="1:9" ht="12.5">
      <c r="A241" s="16">
        <v>1356816</v>
      </c>
      <c r="B241" s="14" t="s">
        <v>597</v>
      </c>
      <c r="C241" s="17" t="s">
        <v>1636</v>
      </c>
      <c r="D241" s="14" t="s">
        <v>1661</v>
      </c>
      <c r="E241" s="14" t="s">
        <v>1662</v>
      </c>
      <c r="F241" s="14" t="s">
        <v>1663</v>
      </c>
      <c r="G241" s="15">
        <v>4.38</v>
      </c>
      <c r="H241" s="15">
        <v>15</v>
      </c>
      <c r="I241" s="18" t="s">
        <v>21</v>
      </c>
    </row>
    <row r="242" spans="1:9" ht="12.5">
      <c r="A242" s="16">
        <v>842454</v>
      </c>
      <c r="B242" s="17" t="s">
        <v>597</v>
      </c>
      <c r="C242" s="17" t="s">
        <v>604</v>
      </c>
      <c r="D242" s="14" t="s">
        <v>1664</v>
      </c>
      <c r="E242" s="14" t="s">
        <v>1665</v>
      </c>
      <c r="F242" s="14" t="s">
        <v>1093</v>
      </c>
      <c r="G242" s="15">
        <v>4.2699999999999996</v>
      </c>
      <c r="H242" s="15">
        <v>5.8</v>
      </c>
      <c r="I242" s="18" t="s">
        <v>21</v>
      </c>
    </row>
    <row r="243" spans="1:9" ht="12.5">
      <c r="A243" s="16">
        <v>2184250</v>
      </c>
      <c r="B243" s="14" t="s">
        <v>597</v>
      </c>
      <c r="C243" s="17" t="s">
        <v>604</v>
      </c>
      <c r="D243" s="14" t="s">
        <v>1666</v>
      </c>
      <c r="E243" s="14" t="s">
        <v>1667</v>
      </c>
      <c r="F243" s="14" t="s">
        <v>1619</v>
      </c>
      <c r="G243" s="15">
        <v>4.62</v>
      </c>
      <c r="H243" s="15">
        <v>5</v>
      </c>
      <c r="I243" s="18" t="s">
        <v>21</v>
      </c>
    </row>
    <row r="244" spans="1:9" ht="12.5">
      <c r="A244" s="14">
        <v>1468006</v>
      </c>
      <c r="B244" s="14" t="s">
        <v>597</v>
      </c>
      <c r="C244" s="14" t="s">
        <v>598</v>
      </c>
      <c r="D244" s="17" t="s">
        <v>1668</v>
      </c>
      <c r="E244" s="14" t="s">
        <v>1669</v>
      </c>
      <c r="F244" s="14" t="s">
        <v>1093</v>
      </c>
      <c r="G244" s="15">
        <v>4.29</v>
      </c>
      <c r="H244" s="15">
        <v>5.8</v>
      </c>
      <c r="I244" s="14" t="s">
        <v>21</v>
      </c>
    </row>
    <row r="245" spans="1:9" ht="12.5">
      <c r="A245" s="16">
        <v>1230766</v>
      </c>
      <c r="B245" s="14" t="s">
        <v>597</v>
      </c>
      <c r="C245" s="17" t="s">
        <v>601</v>
      </c>
      <c r="D245" s="14" t="s">
        <v>1670</v>
      </c>
      <c r="E245" s="14" t="s">
        <v>1670</v>
      </c>
      <c r="F245" s="14" t="s">
        <v>1619</v>
      </c>
      <c r="G245" s="15">
        <v>4.51</v>
      </c>
      <c r="H245" s="15">
        <v>5.2</v>
      </c>
      <c r="I245" s="18" t="s">
        <v>72</v>
      </c>
    </row>
    <row r="246" spans="1:9" ht="12.5">
      <c r="A246" s="16">
        <v>1790062</v>
      </c>
      <c r="B246" s="17" t="s">
        <v>597</v>
      </c>
      <c r="C246" s="17" t="s">
        <v>604</v>
      </c>
      <c r="D246" s="14" t="s">
        <v>1671</v>
      </c>
      <c r="E246" s="14" t="s">
        <v>1672</v>
      </c>
      <c r="F246" s="14" t="s">
        <v>1619</v>
      </c>
      <c r="G246" s="15">
        <v>4.71</v>
      </c>
      <c r="H246" s="15">
        <v>5</v>
      </c>
      <c r="I246" s="18" t="s">
        <v>21</v>
      </c>
    </row>
    <row r="247" spans="1:9" ht="12.5">
      <c r="A247" s="16">
        <v>2781184</v>
      </c>
      <c r="B247" s="17" t="s">
        <v>597</v>
      </c>
      <c r="C247" s="17" t="s">
        <v>601</v>
      </c>
      <c r="D247" s="14" t="s">
        <v>1673</v>
      </c>
      <c r="E247" s="14" t="s">
        <v>1674</v>
      </c>
      <c r="F247" s="14" t="s">
        <v>1093</v>
      </c>
      <c r="G247" s="15">
        <v>4.7</v>
      </c>
      <c r="H247" s="15">
        <v>13.3</v>
      </c>
      <c r="I247" s="18" t="s">
        <v>72</v>
      </c>
    </row>
    <row r="248" spans="1:9" ht="12.5">
      <c r="A248" s="16">
        <v>1224506</v>
      </c>
      <c r="B248" s="17" t="s">
        <v>597</v>
      </c>
      <c r="C248" s="17" t="s">
        <v>598</v>
      </c>
      <c r="D248" s="14" t="s">
        <v>1675</v>
      </c>
      <c r="E248" s="14" t="s">
        <v>1676</v>
      </c>
      <c r="F248" s="14" t="s">
        <v>1093</v>
      </c>
      <c r="G248" s="15">
        <v>4.2300000000000004</v>
      </c>
      <c r="H248" s="15">
        <v>4.7</v>
      </c>
      <c r="I248" s="18" t="s">
        <v>21</v>
      </c>
    </row>
    <row r="249" spans="1:9" ht="12.5">
      <c r="A249" s="14">
        <v>2843818</v>
      </c>
      <c r="B249" s="14" t="s">
        <v>597</v>
      </c>
      <c r="C249" s="14" t="s">
        <v>601</v>
      </c>
      <c r="D249" s="14" t="s">
        <v>1677</v>
      </c>
      <c r="E249" s="14" t="s">
        <v>1678</v>
      </c>
      <c r="F249" s="14" t="s">
        <v>1608</v>
      </c>
      <c r="G249" s="15">
        <v>4.63</v>
      </c>
      <c r="H249" s="15">
        <v>31.3</v>
      </c>
      <c r="I249" s="14" t="s">
        <v>21</v>
      </c>
    </row>
    <row r="250" spans="1:9" ht="12.5">
      <c r="A250" s="16">
        <v>2251204</v>
      </c>
      <c r="B250" s="17" t="s">
        <v>597</v>
      </c>
      <c r="C250" s="17" t="s">
        <v>1636</v>
      </c>
      <c r="D250" s="14" t="s">
        <v>1679</v>
      </c>
      <c r="E250" s="14" t="s">
        <v>1680</v>
      </c>
      <c r="F250" s="14" t="s">
        <v>1663</v>
      </c>
      <c r="G250" s="15">
        <v>4.55</v>
      </c>
      <c r="H250" s="15">
        <v>3.3</v>
      </c>
      <c r="I250" s="18" t="s">
        <v>17</v>
      </c>
    </row>
    <row r="251" spans="1:9" ht="12.5">
      <c r="A251" s="16">
        <v>904186</v>
      </c>
      <c r="B251" s="17" t="s">
        <v>597</v>
      </c>
      <c r="C251" s="17" t="s">
        <v>598</v>
      </c>
      <c r="D251" s="14" t="s">
        <v>1681</v>
      </c>
      <c r="E251" s="14" t="s">
        <v>1682</v>
      </c>
      <c r="F251" s="14" t="s">
        <v>1100</v>
      </c>
      <c r="G251" s="15">
        <v>4.08</v>
      </c>
      <c r="H251" s="15">
        <v>4.2</v>
      </c>
      <c r="I251" s="18" t="s">
        <v>72</v>
      </c>
    </row>
    <row r="252" spans="1:9" ht="12.5">
      <c r="A252" s="16">
        <v>2937730</v>
      </c>
      <c r="B252" s="17" t="s">
        <v>597</v>
      </c>
      <c r="C252" s="17" t="s">
        <v>604</v>
      </c>
      <c r="D252" s="14" t="s">
        <v>1683</v>
      </c>
      <c r="E252" s="14" t="s">
        <v>1684</v>
      </c>
      <c r="F252" s="14" t="s">
        <v>1324</v>
      </c>
      <c r="G252" s="15">
        <v>4.5</v>
      </c>
      <c r="H252" s="15">
        <v>5.6</v>
      </c>
      <c r="I252" s="18" t="s">
        <v>17</v>
      </c>
    </row>
    <row r="253" spans="1:9" ht="12.5">
      <c r="A253" s="14">
        <v>2073306</v>
      </c>
      <c r="B253" s="14" t="s">
        <v>597</v>
      </c>
      <c r="C253" s="14" t="s">
        <v>604</v>
      </c>
      <c r="D253" s="14" t="s">
        <v>1685</v>
      </c>
      <c r="E253" s="14" t="s">
        <v>1685</v>
      </c>
      <c r="F253" s="14" t="s">
        <v>1619</v>
      </c>
      <c r="G253" s="15">
        <v>4.07</v>
      </c>
      <c r="H253" s="15">
        <v>4</v>
      </c>
      <c r="I253" s="14" t="s">
        <v>21</v>
      </c>
    </row>
    <row r="254" spans="1:9" ht="12.5">
      <c r="A254" s="16">
        <v>2332022</v>
      </c>
      <c r="B254" s="17" t="s">
        <v>597</v>
      </c>
      <c r="C254" s="17" t="s">
        <v>604</v>
      </c>
      <c r="D254" s="14" t="s">
        <v>1686</v>
      </c>
      <c r="E254" s="14" t="s">
        <v>1687</v>
      </c>
      <c r="F254" s="14" t="s">
        <v>1619</v>
      </c>
      <c r="G254" s="15">
        <v>4.47</v>
      </c>
      <c r="H254" s="15">
        <v>2.1</v>
      </c>
      <c r="I254" s="18" t="s">
        <v>72</v>
      </c>
    </row>
    <row r="255" spans="1:9" ht="12.5">
      <c r="A255" s="14">
        <v>1741342</v>
      </c>
      <c r="B255" s="14" t="s">
        <v>597</v>
      </c>
      <c r="C255" s="14" t="s">
        <v>598</v>
      </c>
      <c r="D255" s="14" t="s">
        <v>1688</v>
      </c>
      <c r="E255" s="14" t="s">
        <v>1689</v>
      </c>
      <c r="F255" s="14" t="s">
        <v>1619</v>
      </c>
      <c r="G255" s="15">
        <v>4.4800000000000004</v>
      </c>
      <c r="H255" s="15">
        <v>4</v>
      </c>
      <c r="I255" s="14" t="s">
        <v>72</v>
      </c>
    </row>
    <row r="256" spans="1:9" ht="12.5">
      <c r="A256" s="16">
        <v>1949902</v>
      </c>
      <c r="B256" s="14" t="s">
        <v>597</v>
      </c>
      <c r="C256" s="17" t="s">
        <v>601</v>
      </c>
      <c r="D256" s="14" t="s">
        <v>1690</v>
      </c>
      <c r="E256" s="14" t="s">
        <v>1691</v>
      </c>
      <c r="F256" s="14" t="s">
        <v>1619</v>
      </c>
      <c r="G256" s="15">
        <v>4.5599999999999996</v>
      </c>
      <c r="H256" s="15">
        <v>3.8</v>
      </c>
      <c r="I256" s="18" t="s">
        <v>72</v>
      </c>
    </row>
    <row r="257" spans="1:9" ht="12.5">
      <c r="A257" s="14">
        <v>1823602</v>
      </c>
      <c r="B257" s="14" t="s">
        <v>597</v>
      </c>
      <c r="C257" s="14" t="s">
        <v>598</v>
      </c>
      <c r="D257" s="14" t="s">
        <v>1692</v>
      </c>
      <c r="E257" s="14" t="s">
        <v>1693</v>
      </c>
      <c r="F257" s="14" t="s">
        <v>1619</v>
      </c>
      <c r="G257" s="15">
        <v>4.6100000000000003</v>
      </c>
      <c r="H257" s="15">
        <v>5</v>
      </c>
      <c r="I257" s="14" t="s">
        <v>21</v>
      </c>
    </row>
    <row r="258" spans="1:9" ht="12.5">
      <c r="A258" s="16">
        <v>1186234</v>
      </c>
      <c r="B258" s="17" t="s">
        <v>597</v>
      </c>
      <c r="C258" s="17" t="s">
        <v>598</v>
      </c>
      <c r="D258" s="14" t="s">
        <v>1694</v>
      </c>
      <c r="E258" s="14" t="s">
        <v>1695</v>
      </c>
      <c r="F258" s="14" t="s">
        <v>1608</v>
      </c>
      <c r="G258" s="15">
        <v>5</v>
      </c>
      <c r="H258" s="15">
        <v>3.2</v>
      </c>
      <c r="I258" s="18" t="s">
        <v>17</v>
      </c>
    </row>
    <row r="259" spans="1:9" ht="12.5">
      <c r="A259" s="14">
        <v>2342920</v>
      </c>
      <c r="B259" s="14" t="s">
        <v>597</v>
      </c>
      <c r="C259" s="14" t="s">
        <v>601</v>
      </c>
      <c r="D259" s="14" t="s">
        <v>1696</v>
      </c>
      <c r="E259" s="14" t="s">
        <v>1696</v>
      </c>
      <c r="F259" s="14" t="s">
        <v>1619</v>
      </c>
      <c r="G259" s="15">
        <v>4.34</v>
      </c>
      <c r="H259" s="15">
        <v>1.7</v>
      </c>
      <c r="I259" s="14" t="s">
        <v>21</v>
      </c>
    </row>
    <row r="260" spans="1:9" ht="12.5">
      <c r="A260" s="16">
        <v>1989796</v>
      </c>
      <c r="B260" s="17" t="s">
        <v>597</v>
      </c>
      <c r="C260" s="17" t="s">
        <v>601</v>
      </c>
      <c r="D260" s="14" t="s">
        <v>1697</v>
      </c>
      <c r="E260" s="14" t="s">
        <v>1698</v>
      </c>
      <c r="F260" s="14" t="s">
        <v>1619</v>
      </c>
      <c r="G260" s="15">
        <v>4.83</v>
      </c>
      <c r="H260" s="15">
        <v>2.2000000000000002</v>
      </c>
      <c r="I260" s="18" t="s">
        <v>21</v>
      </c>
    </row>
    <row r="261" spans="1:9" ht="12.5">
      <c r="A261" s="16">
        <v>504536</v>
      </c>
      <c r="B261" s="17" t="s">
        <v>597</v>
      </c>
      <c r="C261" s="17" t="s">
        <v>604</v>
      </c>
      <c r="D261" s="14" t="s">
        <v>1699</v>
      </c>
      <c r="E261" s="14" t="s">
        <v>1700</v>
      </c>
      <c r="F261" s="14" t="s">
        <v>1093</v>
      </c>
      <c r="G261" s="15">
        <v>4.18</v>
      </c>
      <c r="H261" s="15">
        <v>4.3</v>
      </c>
      <c r="I261" s="18" t="s">
        <v>21</v>
      </c>
    </row>
    <row r="262" spans="1:9" ht="12.5">
      <c r="A262" s="14">
        <v>1678306</v>
      </c>
      <c r="B262" s="14" t="s">
        <v>597</v>
      </c>
      <c r="C262" s="14" t="s">
        <v>598</v>
      </c>
      <c r="D262" s="14" t="s">
        <v>1701</v>
      </c>
      <c r="E262" s="14" t="s">
        <v>1702</v>
      </c>
      <c r="F262" s="14" t="s">
        <v>1233</v>
      </c>
      <c r="G262" s="15">
        <v>4.34</v>
      </c>
      <c r="H262" s="15">
        <v>2.6</v>
      </c>
      <c r="I262" s="14" t="s">
        <v>21</v>
      </c>
    </row>
    <row r="263" spans="1:9" ht="12.5">
      <c r="A263" s="16">
        <v>1413584</v>
      </c>
      <c r="B263" s="17" t="s">
        <v>597</v>
      </c>
      <c r="C263" s="17" t="s">
        <v>598</v>
      </c>
      <c r="D263" s="14" t="s">
        <v>1703</v>
      </c>
      <c r="E263" s="14" t="s">
        <v>1704</v>
      </c>
      <c r="F263" s="14" t="s">
        <v>1619</v>
      </c>
      <c r="G263" s="15">
        <v>4.5999999999999996</v>
      </c>
      <c r="H263" s="15">
        <v>3.7</v>
      </c>
      <c r="I263" s="18" t="s">
        <v>21</v>
      </c>
    </row>
    <row r="264" spans="1:9" ht="12.5">
      <c r="A264" s="16">
        <v>2238136</v>
      </c>
      <c r="B264" s="17" t="s">
        <v>597</v>
      </c>
      <c r="C264" s="17" t="s">
        <v>601</v>
      </c>
      <c r="D264" s="14" t="s">
        <v>1705</v>
      </c>
      <c r="E264" s="14" t="s">
        <v>1705</v>
      </c>
      <c r="F264" s="14" t="s">
        <v>1619</v>
      </c>
      <c r="G264" s="15">
        <v>4.21</v>
      </c>
      <c r="H264" s="15">
        <v>2.6</v>
      </c>
      <c r="I264" s="18" t="s">
        <v>21</v>
      </c>
    </row>
    <row r="265" spans="1:9" ht="12.5">
      <c r="A265" s="14">
        <v>894688</v>
      </c>
      <c r="B265" s="14" t="s">
        <v>597</v>
      </c>
      <c r="C265" s="14" t="s">
        <v>604</v>
      </c>
      <c r="D265" s="14" t="s">
        <v>1706</v>
      </c>
      <c r="E265" s="14" t="s">
        <v>1707</v>
      </c>
      <c r="F265" s="14" t="s">
        <v>1504</v>
      </c>
      <c r="G265" s="15">
        <v>4.5</v>
      </c>
      <c r="H265" s="15">
        <v>2.6</v>
      </c>
      <c r="I265" s="14" t="s">
        <v>21</v>
      </c>
    </row>
    <row r="266" spans="1:9" ht="12.5">
      <c r="A266" s="16">
        <v>735854</v>
      </c>
      <c r="B266" s="17" t="s">
        <v>597</v>
      </c>
      <c r="C266" s="17" t="s">
        <v>598</v>
      </c>
      <c r="D266" s="14" t="s">
        <v>1708</v>
      </c>
      <c r="E266" s="14" t="s">
        <v>1709</v>
      </c>
      <c r="F266" s="14" t="s">
        <v>1710</v>
      </c>
      <c r="G266" s="15">
        <v>3.4</v>
      </c>
      <c r="H266" s="15">
        <v>30.1</v>
      </c>
      <c r="I266" s="18" t="s">
        <v>21</v>
      </c>
    </row>
    <row r="267" spans="1:9" ht="12.5">
      <c r="A267" s="16">
        <v>1081238</v>
      </c>
      <c r="B267" s="14" t="s">
        <v>672</v>
      </c>
      <c r="C267" s="17" t="s">
        <v>677</v>
      </c>
      <c r="D267" s="14" t="s">
        <v>1711</v>
      </c>
      <c r="E267" s="14" t="s">
        <v>1712</v>
      </c>
      <c r="F267" s="14" t="s">
        <v>1713</v>
      </c>
      <c r="G267" s="15">
        <v>4.53</v>
      </c>
      <c r="H267" s="15">
        <v>2.4</v>
      </c>
      <c r="I267" s="18" t="s">
        <v>21</v>
      </c>
    </row>
    <row r="268" spans="1:9" ht="12.5">
      <c r="A268" s="16">
        <v>722080</v>
      </c>
      <c r="B268" s="14" t="s">
        <v>672</v>
      </c>
      <c r="C268" s="17" t="s">
        <v>677</v>
      </c>
      <c r="D268" s="14" t="s">
        <v>1714</v>
      </c>
      <c r="E268" s="14" t="s">
        <v>1715</v>
      </c>
      <c r="F268" s="14" t="s">
        <v>1716</v>
      </c>
      <c r="G268" s="15">
        <v>4.5599999999999996</v>
      </c>
      <c r="H268" s="15">
        <v>2.9</v>
      </c>
      <c r="I268" s="18" t="s">
        <v>21</v>
      </c>
    </row>
    <row r="269" spans="1:9" ht="12.5">
      <c r="A269" s="16">
        <v>2184242</v>
      </c>
      <c r="B269" s="17" t="s">
        <v>672</v>
      </c>
      <c r="C269" s="17" t="s">
        <v>695</v>
      </c>
      <c r="D269" s="14" t="s">
        <v>1717</v>
      </c>
      <c r="E269" s="14" t="s">
        <v>1718</v>
      </c>
      <c r="F269" s="14" t="s">
        <v>1719</v>
      </c>
      <c r="G269" s="15">
        <v>4.17</v>
      </c>
      <c r="H269" s="15">
        <v>3.9</v>
      </c>
      <c r="I269" s="18" t="s">
        <v>21</v>
      </c>
    </row>
    <row r="270" spans="1:9" ht="12.5">
      <c r="A270" s="16">
        <v>3523250</v>
      </c>
      <c r="B270" s="17" t="s">
        <v>672</v>
      </c>
      <c r="C270" s="17" t="s">
        <v>677</v>
      </c>
      <c r="D270" s="14" t="s">
        <v>1720</v>
      </c>
      <c r="E270" s="14" t="s">
        <v>1721</v>
      </c>
      <c r="F270" s="14" t="s">
        <v>1716</v>
      </c>
      <c r="G270" s="15">
        <v>4.66</v>
      </c>
      <c r="H270" s="15">
        <v>5</v>
      </c>
      <c r="I270" s="18" t="s">
        <v>21</v>
      </c>
    </row>
    <row r="271" spans="1:9" ht="12.5">
      <c r="A271" s="16">
        <v>1567028</v>
      </c>
      <c r="B271" s="14" t="s">
        <v>672</v>
      </c>
      <c r="C271" s="17" t="s">
        <v>695</v>
      </c>
      <c r="D271" s="14" t="s">
        <v>1722</v>
      </c>
      <c r="E271" s="14" t="s">
        <v>1722</v>
      </c>
      <c r="F271" s="14" t="s">
        <v>1723</v>
      </c>
      <c r="G271" s="15">
        <v>4.0199999999999996</v>
      </c>
      <c r="H271" s="15">
        <v>2.1</v>
      </c>
      <c r="I271" s="18" t="s">
        <v>17</v>
      </c>
    </row>
    <row r="272" spans="1:9" ht="12.5">
      <c r="A272" s="16">
        <v>991354</v>
      </c>
      <c r="B272" s="17" t="s">
        <v>672</v>
      </c>
      <c r="C272" s="17" t="s">
        <v>681</v>
      </c>
      <c r="D272" s="14" t="s">
        <v>1724</v>
      </c>
      <c r="E272" s="14" t="s">
        <v>1725</v>
      </c>
      <c r="F272" s="14" t="s">
        <v>1713</v>
      </c>
      <c r="G272" s="15">
        <v>4.59</v>
      </c>
      <c r="H272" s="15">
        <v>5.8</v>
      </c>
      <c r="I272" s="18" t="s">
        <v>21</v>
      </c>
    </row>
    <row r="273" spans="1:9" ht="12.5">
      <c r="A273" s="16">
        <v>1939102</v>
      </c>
      <c r="B273" s="17" t="s">
        <v>672</v>
      </c>
      <c r="C273" s="17" t="s">
        <v>681</v>
      </c>
      <c r="D273" s="14" t="s">
        <v>1726</v>
      </c>
      <c r="E273" s="14" t="s">
        <v>1727</v>
      </c>
      <c r="F273" s="14" t="s">
        <v>1728</v>
      </c>
      <c r="G273" s="19">
        <v>4.28</v>
      </c>
      <c r="H273" s="15">
        <v>1.7</v>
      </c>
      <c r="I273" s="18" t="s">
        <v>17</v>
      </c>
    </row>
    <row r="274" spans="1:9" ht="12.5">
      <c r="A274" s="16">
        <v>3074268</v>
      </c>
      <c r="B274" s="17" t="s">
        <v>672</v>
      </c>
      <c r="C274" s="17" t="s">
        <v>695</v>
      </c>
      <c r="D274" s="14" t="s">
        <v>1729</v>
      </c>
      <c r="E274" s="14" t="s">
        <v>1729</v>
      </c>
      <c r="F274" s="14" t="s">
        <v>1730</v>
      </c>
      <c r="G274" s="15">
        <v>4.4800000000000004</v>
      </c>
      <c r="H274" s="15">
        <v>3.1</v>
      </c>
      <c r="I274" s="18" t="s">
        <v>17</v>
      </c>
    </row>
    <row r="275" spans="1:9" ht="12.5">
      <c r="A275" s="16">
        <v>950006</v>
      </c>
      <c r="B275" s="14" t="s">
        <v>672</v>
      </c>
      <c r="C275" s="17" t="s">
        <v>677</v>
      </c>
      <c r="D275" s="14" t="s">
        <v>1731</v>
      </c>
      <c r="E275" s="14" t="s">
        <v>1732</v>
      </c>
      <c r="F275" s="14" t="s">
        <v>1733</v>
      </c>
      <c r="G275" s="15">
        <v>4.4400000000000004</v>
      </c>
      <c r="H275" s="15">
        <v>2.5</v>
      </c>
      <c r="I275" s="18" t="s">
        <v>21</v>
      </c>
    </row>
    <row r="276" spans="1:9" ht="12.5">
      <c r="A276" s="14">
        <v>2159944</v>
      </c>
      <c r="B276" s="14" t="s">
        <v>672</v>
      </c>
      <c r="C276" s="14" t="s">
        <v>677</v>
      </c>
      <c r="D276" s="14" t="s">
        <v>1734</v>
      </c>
      <c r="E276" s="14" t="s">
        <v>1735</v>
      </c>
      <c r="F276" s="14" t="s">
        <v>1716</v>
      </c>
      <c r="G276" s="15">
        <v>4.62</v>
      </c>
      <c r="H276" s="15">
        <v>2.4</v>
      </c>
      <c r="I276" s="14" t="s">
        <v>21</v>
      </c>
    </row>
    <row r="277" spans="1:9" ht="12.5">
      <c r="A277" s="16">
        <v>3257116</v>
      </c>
      <c r="B277" s="17" t="s">
        <v>672</v>
      </c>
      <c r="C277" s="17" t="s">
        <v>677</v>
      </c>
      <c r="D277" s="14" t="s">
        <v>1736</v>
      </c>
      <c r="E277" s="14" t="s">
        <v>1737</v>
      </c>
      <c r="F277" s="14" t="s">
        <v>1716</v>
      </c>
      <c r="G277" s="19">
        <v>4.55</v>
      </c>
      <c r="H277" s="15">
        <v>2</v>
      </c>
      <c r="I277" s="18" t="s">
        <v>21</v>
      </c>
    </row>
    <row r="278" spans="1:9" ht="12.5">
      <c r="A278" s="16">
        <v>3083514</v>
      </c>
      <c r="B278" s="17" t="s">
        <v>672</v>
      </c>
      <c r="C278" s="17" t="s">
        <v>681</v>
      </c>
      <c r="D278" s="14" t="s">
        <v>1738</v>
      </c>
      <c r="E278" s="14" t="s">
        <v>1739</v>
      </c>
      <c r="F278" s="14" t="s">
        <v>1740</v>
      </c>
      <c r="G278" s="15">
        <v>3.72</v>
      </c>
      <c r="H278" s="15">
        <v>2.4</v>
      </c>
      <c r="I278" s="18" t="s">
        <v>17</v>
      </c>
    </row>
    <row r="279" spans="1:9" ht="12.5">
      <c r="A279" s="16">
        <v>1854702</v>
      </c>
      <c r="B279" s="14" t="s">
        <v>672</v>
      </c>
      <c r="C279" s="17" t="s">
        <v>681</v>
      </c>
      <c r="D279" s="14" t="s">
        <v>1741</v>
      </c>
      <c r="E279" s="14" t="s">
        <v>1742</v>
      </c>
      <c r="F279" s="14" t="s">
        <v>1743</v>
      </c>
      <c r="G279" s="15">
        <v>4.82</v>
      </c>
      <c r="H279" s="15">
        <v>0.6</v>
      </c>
      <c r="I279" s="18" t="s">
        <v>21</v>
      </c>
    </row>
    <row r="280" spans="1:9" ht="12.5">
      <c r="A280" s="16">
        <v>1212264</v>
      </c>
      <c r="B280" s="17" t="s">
        <v>672</v>
      </c>
      <c r="C280" s="17" t="s">
        <v>677</v>
      </c>
      <c r="D280" s="14" t="s">
        <v>1744</v>
      </c>
      <c r="E280" s="14" t="s">
        <v>1745</v>
      </c>
      <c r="F280" s="14" t="s">
        <v>1716</v>
      </c>
      <c r="G280" s="15">
        <v>4.5999999999999996</v>
      </c>
      <c r="H280" s="15">
        <v>4.3</v>
      </c>
      <c r="I280" s="18" t="s">
        <v>21</v>
      </c>
    </row>
    <row r="281" spans="1:9" ht="12.5">
      <c r="A281" s="14">
        <v>1993672</v>
      </c>
      <c r="B281" s="14" t="s">
        <v>672</v>
      </c>
      <c r="C281" s="14" t="s">
        <v>677</v>
      </c>
      <c r="D281" s="14" t="s">
        <v>1746</v>
      </c>
      <c r="E281" s="14" t="s">
        <v>1747</v>
      </c>
      <c r="F281" s="14" t="s">
        <v>1716</v>
      </c>
      <c r="G281" s="15">
        <v>4.51</v>
      </c>
      <c r="H281" s="15">
        <v>2.2000000000000002</v>
      </c>
      <c r="I281" s="14" t="s">
        <v>21</v>
      </c>
    </row>
    <row r="282" spans="1:9" ht="12.5">
      <c r="A282" s="14">
        <v>1711186</v>
      </c>
      <c r="B282" s="14" t="s">
        <v>672</v>
      </c>
      <c r="C282" s="14" t="s">
        <v>695</v>
      </c>
      <c r="D282" s="14" t="s">
        <v>1748</v>
      </c>
      <c r="E282" s="14" t="s">
        <v>1749</v>
      </c>
      <c r="F282" s="14" t="s">
        <v>1750</v>
      </c>
      <c r="G282" s="15">
        <v>4.0199999999999996</v>
      </c>
      <c r="H282" s="15">
        <v>0.9</v>
      </c>
      <c r="I282" s="14" t="s">
        <v>17</v>
      </c>
    </row>
    <row r="283" spans="1:9" ht="12.5">
      <c r="A283" s="14">
        <v>1909816</v>
      </c>
      <c r="B283" s="14" t="s">
        <v>672</v>
      </c>
      <c r="C283" s="14" t="s">
        <v>681</v>
      </c>
      <c r="D283" s="14" t="s">
        <v>1751</v>
      </c>
      <c r="E283" s="14" t="s">
        <v>1752</v>
      </c>
      <c r="F283" s="14" t="s">
        <v>1713</v>
      </c>
      <c r="G283" s="15">
        <v>4.4000000000000004</v>
      </c>
      <c r="H283" s="15">
        <v>3.1</v>
      </c>
      <c r="I283" s="14" t="s">
        <v>21</v>
      </c>
    </row>
    <row r="284" spans="1:9" ht="12.5">
      <c r="A284" s="16">
        <v>1057930</v>
      </c>
      <c r="B284" s="17" t="s">
        <v>672</v>
      </c>
      <c r="C284" s="17" t="s">
        <v>677</v>
      </c>
      <c r="D284" s="14" t="s">
        <v>1753</v>
      </c>
      <c r="E284" s="14" t="s">
        <v>1754</v>
      </c>
      <c r="F284" s="14" t="s">
        <v>1716</v>
      </c>
      <c r="G284" s="15">
        <v>4.87</v>
      </c>
      <c r="H284" s="15">
        <v>2.2999999999999998</v>
      </c>
      <c r="I284" s="18" t="s">
        <v>21</v>
      </c>
    </row>
    <row r="285" spans="1:9" ht="12.5">
      <c r="A285" s="14">
        <v>911286</v>
      </c>
      <c r="B285" s="14" t="s">
        <v>672</v>
      </c>
      <c r="C285" s="14" t="s">
        <v>681</v>
      </c>
      <c r="D285" s="14" t="s">
        <v>1755</v>
      </c>
      <c r="E285" s="14" t="s">
        <v>1756</v>
      </c>
      <c r="F285" s="14" t="s">
        <v>1757</v>
      </c>
      <c r="G285" s="15">
        <v>4.32</v>
      </c>
      <c r="H285" s="15">
        <v>3</v>
      </c>
      <c r="I285" s="14" t="s">
        <v>21</v>
      </c>
    </row>
    <row r="286" spans="1:9" ht="12.5">
      <c r="A286" s="14">
        <v>1726144</v>
      </c>
      <c r="B286" s="14" t="s">
        <v>672</v>
      </c>
      <c r="C286" s="14" t="s">
        <v>677</v>
      </c>
      <c r="D286" s="14" t="s">
        <v>1758</v>
      </c>
      <c r="E286" s="14" t="s">
        <v>1759</v>
      </c>
      <c r="F286" s="14" t="s">
        <v>1716</v>
      </c>
      <c r="G286" s="15">
        <v>4.59</v>
      </c>
      <c r="H286" s="15">
        <v>2</v>
      </c>
      <c r="I286" s="14" t="s">
        <v>21</v>
      </c>
    </row>
    <row r="287" spans="1:9" ht="12.5">
      <c r="A287" s="16">
        <v>1681908</v>
      </c>
      <c r="B287" s="17" t="s">
        <v>672</v>
      </c>
      <c r="C287" s="17" t="s">
        <v>681</v>
      </c>
      <c r="D287" s="14" t="s">
        <v>1760</v>
      </c>
      <c r="E287" s="14" t="s">
        <v>1761</v>
      </c>
      <c r="F287" s="14" t="s">
        <v>1713</v>
      </c>
      <c r="G287" s="19">
        <v>4.59</v>
      </c>
      <c r="H287" s="15">
        <v>2.8</v>
      </c>
      <c r="I287" s="18" t="s">
        <v>21</v>
      </c>
    </row>
    <row r="288" spans="1:9" ht="12.5">
      <c r="A288" s="14">
        <v>1743232</v>
      </c>
      <c r="B288" s="14" t="s">
        <v>672</v>
      </c>
      <c r="C288" s="14" t="s">
        <v>677</v>
      </c>
      <c r="D288" s="14" t="s">
        <v>1762</v>
      </c>
      <c r="E288" s="14" t="s">
        <v>1763</v>
      </c>
      <c r="F288" s="14" t="s">
        <v>1764</v>
      </c>
      <c r="G288" s="15">
        <v>4.2</v>
      </c>
      <c r="H288" s="15">
        <v>3.3</v>
      </c>
      <c r="I288" s="14" t="s">
        <v>21</v>
      </c>
    </row>
    <row r="289" spans="1:9" ht="12.5">
      <c r="A289" s="16">
        <v>1862412</v>
      </c>
      <c r="B289" s="17" t="s">
        <v>672</v>
      </c>
      <c r="C289" s="17" t="s">
        <v>677</v>
      </c>
      <c r="D289" s="14" t="s">
        <v>1765</v>
      </c>
      <c r="E289" s="14" t="s">
        <v>1766</v>
      </c>
      <c r="F289" s="14" t="s">
        <v>1716</v>
      </c>
      <c r="G289" s="15">
        <v>4.53</v>
      </c>
      <c r="H289" s="15">
        <v>2.2999999999999998</v>
      </c>
      <c r="I289" s="18" t="s">
        <v>21</v>
      </c>
    </row>
    <row r="290" spans="1:9" ht="12.5">
      <c r="A290" s="16">
        <v>1230976</v>
      </c>
      <c r="B290" s="17" t="s">
        <v>672</v>
      </c>
      <c r="C290" s="17" t="s">
        <v>681</v>
      </c>
      <c r="D290" s="14" t="s">
        <v>1767</v>
      </c>
      <c r="E290" s="14" t="s">
        <v>1768</v>
      </c>
      <c r="F290" s="14" t="s">
        <v>1656</v>
      </c>
      <c r="G290" s="15">
        <v>4.5999999999999996</v>
      </c>
      <c r="H290" s="15">
        <v>5.6</v>
      </c>
      <c r="I290" s="18" t="s">
        <v>21</v>
      </c>
    </row>
    <row r="291" spans="1:9" ht="12.5">
      <c r="A291" s="16">
        <v>1243400</v>
      </c>
      <c r="B291" s="14" t="s">
        <v>672</v>
      </c>
      <c r="C291" s="14" t="s">
        <v>695</v>
      </c>
      <c r="D291" s="14" t="s">
        <v>1769</v>
      </c>
      <c r="E291" s="14" t="s">
        <v>1770</v>
      </c>
      <c r="F291" s="14" t="s">
        <v>1723</v>
      </c>
      <c r="G291" s="15">
        <v>4.3600000000000003</v>
      </c>
      <c r="H291" s="15">
        <v>1.7</v>
      </c>
      <c r="I291" s="18" t="s">
        <v>21</v>
      </c>
    </row>
    <row r="292" spans="1:9" ht="12.5">
      <c r="A292" s="16">
        <v>3111326</v>
      </c>
      <c r="B292" s="14" t="s">
        <v>672</v>
      </c>
      <c r="C292" s="17" t="s">
        <v>677</v>
      </c>
      <c r="D292" s="14" t="s">
        <v>1771</v>
      </c>
      <c r="E292" s="14" t="s">
        <v>1772</v>
      </c>
      <c r="F292" s="14" t="s">
        <v>1773</v>
      </c>
      <c r="G292" s="15">
        <v>4.41</v>
      </c>
      <c r="H292" s="15">
        <v>2.8</v>
      </c>
      <c r="I292" s="18" t="s">
        <v>21</v>
      </c>
    </row>
    <row r="293" spans="1:9" ht="12.5">
      <c r="A293" s="16">
        <v>1716870</v>
      </c>
      <c r="B293" s="17" t="s">
        <v>672</v>
      </c>
      <c r="C293" s="17" t="s">
        <v>677</v>
      </c>
      <c r="D293" s="14" t="s">
        <v>1774</v>
      </c>
      <c r="E293" s="14" t="s">
        <v>1775</v>
      </c>
      <c r="F293" s="14" t="s">
        <v>1776</v>
      </c>
      <c r="G293" s="15">
        <v>4.57</v>
      </c>
      <c r="H293" s="15">
        <v>1.2</v>
      </c>
      <c r="I293" s="18" t="s">
        <v>21</v>
      </c>
    </row>
    <row r="294" spans="1:9" ht="12.5">
      <c r="A294" s="16">
        <v>2141938</v>
      </c>
      <c r="B294" s="17" t="s">
        <v>672</v>
      </c>
      <c r="C294" s="17" t="s">
        <v>673</v>
      </c>
      <c r="D294" s="14" t="s">
        <v>1777</v>
      </c>
      <c r="E294" s="14" t="s">
        <v>1778</v>
      </c>
      <c r="F294" s="14" t="s">
        <v>1716</v>
      </c>
      <c r="G294" s="15">
        <v>4.6100000000000003</v>
      </c>
      <c r="H294" s="15">
        <v>2.5</v>
      </c>
      <c r="I294" s="18" t="s">
        <v>21</v>
      </c>
    </row>
    <row r="295" spans="1:9" ht="12.5">
      <c r="A295" s="16">
        <v>1395194</v>
      </c>
      <c r="B295" s="14" t="s">
        <v>672</v>
      </c>
      <c r="C295" s="17" t="s">
        <v>677</v>
      </c>
      <c r="D295" s="14" t="s">
        <v>1779</v>
      </c>
      <c r="E295" s="14" t="s">
        <v>1780</v>
      </c>
      <c r="F295" s="14" t="s">
        <v>1716</v>
      </c>
      <c r="G295" s="19">
        <v>4.6399999999999997</v>
      </c>
      <c r="H295" s="15">
        <v>3.7</v>
      </c>
      <c r="I295" s="18" t="s">
        <v>21</v>
      </c>
    </row>
    <row r="296" spans="1:9" ht="12.5">
      <c r="A296" s="14">
        <v>1857524</v>
      </c>
      <c r="B296" s="14" t="s">
        <v>672</v>
      </c>
      <c r="C296" s="14" t="s">
        <v>673</v>
      </c>
      <c r="D296" s="14" t="s">
        <v>1781</v>
      </c>
      <c r="E296" s="14" t="s">
        <v>1782</v>
      </c>
      <c r="F296" s="14" t="s">
        <v>1740</v>
      </c>
      <c r="G296" s="15">
        <v>3.86</v>
      </c>
      <c r="H296" s="15">
        <v>0.9</v>
      </c>
      <c r="I296" s="14" t="s">
        <v>21</v>
      </c>
    </row>
    <row r="297" spans="1:9" ht="12.5">
      <c r="A297" s="16">
        <v>1530568</v>
      </c>
      <c r="B297" s="17" t="s">
        <v>672</v>
      </c>
      <c r="C297" s="17" t="s">
        <v>677</v>
      </c>
      <c r="D297" s="14" t="s">
        <v>1783</v>
      </c>
      <c r="E297" s="14" t="s">
        <v>1784</v>
      </c>
      <c r="F297" s="14" t="s">
        <v>1713</v>
      </c>
      <c r="G297" s="15">
        <v>4.59</v>
      </c>
      <c r="H297" s="15">
        <v>1.8</v>
      </c>
      <c r="I297" s="18" t="s">
        <v>21</v>
      </c>
    </row>
    <row r="298" spans="1:9" ht="12.5">
      <c r="A298" s="16">
        <v>1298822</v>
      </c>
      <c r="B298" s="17" t="s">
        <v>672</v>
      </c>
      <c r="C298" s="17" t="s">
        <v>681</v>
      </c>
      <c r="D298" s="14" t="s">
        <v>1785</v>
      </c>
      <c r="E298" s="14" t="s">
        <v>1786</v>
      </c>
      <c r="F298" s="14" t="s">
        <v>1713</v>
      </c>
      <c r="G298" s="15">
        <v>4.3600000000000003</v>
      </c>
      <c r="H298" s="15">
        <v>1.5</v>
      </c>
      <c r="I298" s="18" t="s">
        <v>17</v>
      </c>
    </row>
    <row r="299" spans="1:9" ht="12.5">
      <c r="A299" s="16">
        <v>1609536</v>
      </c>
      <c r="B299" s="14" t="s">
        <v>672</v>
      </c>
      <c r="C299" s="17" t="s">
        <v>677</v>
      </c>
      <c r="D299" s="14" t="s">
        <v>1787</v>
      </c>
      <c r="E299" s="14" t="s">
        <v>1788</v>
      </c>
      <c r="F299" s="14" t="s">
        <v>1297</v>
      </c>
      <c r="G299" s="15">
        <v>4.01</v>
      </c>
      <c r="H299" s="15">
        <v>1.9</v>
      </c>
      <c r="I299" s="18" t="s">
        <v>21</v>
      </c>
    </row>
    <row r="300" spans="1:9" ht="12.5">
      <c r="A300" s="16">
        <v>2707272</v>
      </c>
      <c r="B300" s="17" t="s">
        <v>672</v>
      </c>
      <c r="C300" s="17" t="s">
        <v>677</v>
      </c>
      <c r="D300" s="14" t="s">
        <v>1789</v>
      </c>
      <c r="E300" s="14" t="s">
        <v>1790</v>
      </c>
      <c r="F300" s="14" t="s">
        <v>1791</v>
      </c>
      <c r="G300" s="15">
        <v>3.99</v>
      </c>
      <c r="H300" s="15">
        <v>3.2</v>
      </c>
      <c r="I300" s="18" t="s">
        <v>21</v>
      </c>
    </row>
    <row r="301" spans="1:9" ht="12.5">
      <c r="A301" s="14">
        <v>944136</v>
      </c>
      <c r="B301" s="14" t="s">
        <v>672</v>
      </c>
      <c r="C301" s="14" t="s">
        <v>695</v>
      </c>
      <c r="D301" s="14" t="s">
        <v>1792</v>
      </c>
      <c r="E301" s="14" t="s">
        <v>1793</v>
      </c>
      <c r="F301" s="14" t="s">
        <v>1794</v>
      </c>
      <c r="G301" s="15">
        <v>4.34</v>
      </c>
      <c r="H301" s="15">
        <v>3.6</v>
      </c>
      <c r="I301" s="14" t="s">
        <v>21</v>
      </c>
    </row>
    <row r="302" spans="1:9" ht="12.5">
      <c r="A302" s="14">
        <v>2819319</v>
      </c>
      <c r="B302" s="14" t="s">
        <v>672</v>
      </c>
      <c r="C302" s="14" t="s">
        <v>677</v>
      </c>
      <c r="D302" s="14" t="s">
        <v>1795</v>
      </c>
      <c r="E302" s="14" t="s">
        <v>1796</v>
      </c>
      <c r="F302" s="14" t="s">
        <v>1797</v>
      </c>
      <c r="G302" s="15">
        <v>4.6900000000000004</v>
      </c>
      <c r="H302" s="15">
        <v>1.2</v>
      </c>
      <c r="I302" s="14" t="s">
        <v>21</v>
      </c>
    </row>
    <row r="303" spans="1:9" ht="12.5">
      <c r="A303" s="16">
        <v>2013104</v>
      </c>
      <c r="B303" s="14" t="s">
        <v>672</v>
      </c>
      <c r="C303" s="17" t="s">
        <v>677</v>
      </c>
      <c r="D303" s="14" t="s">
        <v>1798</v>
      </c>
      <c r="E303" s="14" t="s">
        <v>1799</v>
      </c>
      <c r="F303" s="14" t="s">
        <v>1743</v>
      </c>
      <c r="G303" s="15">
        <v>4.3099999999999996</v>
      </c>
      <c r="H303" s="15">
        <v>0.7</v>
      </c>
      <c r="I303" s="18" t="s">
        <v>17</v>
      </c>
    </row>
    <row r="304" spans="1:9" ht="12.5">
      <c r="A304" s="16">
        <v>3290266</v>
      </c>
      <c r="B304" s="17" t="s">
        <v>672</v>
      </c>
      <c r="C304" s="17" t="s">
        <v>677</v>
      </c>
      <c r="D304" s="14" t="s">
        <v>1800</v>
      </c>
      <c r="E304" s="14" t="s">
        <v>1801</v>
      </c>
      <c r="F304" s="14" t="s">
        <v>1802</v>
      </c>
      <c r="G304" s="15">
        <v>4.28</v>
      </c>
      <c r="H304" s="15">
        <v>3.2</v>
      </c>
      <c r="I304" s="18" t="s">
        <v>17</v>
      </c>
    </row>
    <row r="305" spans="1:9" ht="12.5">
      <c r="A305" s="14">
        <v>1559004</v>
      </c>
      <c r="B305" s="14" t="s">
        <v>672</v>
      </c>
      <c r="C305" s="14" t="s">
        <v>677</v>
      </c>
      <c r="D305" s="14" t="s">
        <v>1803</v>
      </c>
      <c r="E305" s="14" t="s">
        <v>1804</v>
      </c>
      <c r="F305" s="14" t="s">
        <v>1297</v>
      </c>
      <c r="G305" s="15">
        <v>3.86</v>
      </c>
      <c r="H305" s="15">
        <v>3</v>
      </c>
      <c r="I305" s="14" t="s">
        <v>17</v>
      </c>
    </row>
    <row r="306" spans="1:9" ht="12.5">
      <c r="A306" s="16">
        <v>2513540</v>
      </c>
      <c r="B306" s="17" t="s">
        <v>672</v>
      </c>
      <c r="C306" s="17" t="s">
        <v>677</v>
      </c>
      <c r="D306" s="14" t="s">
        <v>1805</v>
      </c>
      <c r="E306" s="14" t="s">
        <v>1806</v>
      </c>
      <c r="F306" s="14" t="s">
        <v>1807</v>
      </c>
      <c r="G306" s="15">
        <v>4.5</v>
      </c>
      <c r="H306" s="15">
        <v>0.6</v>
      </c>
      <c r="I306" s="18" t="s">
        <v>21</v>
      </c>
    </row>
    <row r="307" spans="1:9" ht="12.5">
      <c r="A307" s="14">
        <v>1706510</v>
      </c>
      <c r="B307" s="14" t="s">
        <v>672</v>
      </c>
      <c r="C307" s="14" t="s">
        <v>677</v>
      </c>
      <c r="D307" s="14" t="s">
        <v>1808</v>
      </c>
      <c r="E307" s="14" t="s">
        <v>1809</v>
      </c>
      <c r="F307" s="14" t="s">
        <v>1802</v>
      </c>
      <c r="G307" s="15">
        <v>4.67</v>
      </c>
      <c r="H307" s="15">
        <v>1.6</v>
      </c>
      <c r="I307" s="14" t="s">
        <v>21</v>
      </c>
    </row>
    <row r="308" spans="1:9" ht="12.5">
      <c r="A308" s="14">
        <v>2079072</v>
      </c>
      <c r="B308" s="14" t="s">
        <v>672</v>
      </c>
      <c r="C308" s="14" t="s">
        <v>695</v>
      </c>
      <c r="D308" s="14" t="s">
        <v>1810</v>
      </c>
      <c r="E308" s="14" t="s">
        <v>1811</v>
      </c>
      <c r="F308" s="14" t="s">
        <v>1297</v>
      </c>
      <c r="G308" s="15">
        <v>4.45</v>
      </c>
      <c r="H308" s="15">
        <v>3.6</v>
      </c>
      <c r="I308" s="14" t="s">
        <v>17</v>
      </c>
    </row>
    <row r="309" spans="1:9" ht="12.5">
      <c r="A309" s="14">
        <v>1855652</v>
      </c>
      <c r="B309" s="14" t="s">
        <v>672</v>
      </c>
      <c r="C309" s="14" t="s">
        <v>695</v>
      </c>
      <c r="D309" s="14" t="s">
        <v>1812</v>
      </c>
      <c r="E309" s="14" t="s">
        <v>1813</v>
      </c>
      <c r="F309" s="14" t="s">
        <v>1814</v>
      </c>
      <c r="G309" s="15">
        <v>4.3</v>
      </c>
      <c r="H309" s="15">
        <v>1.4</v>
      </c>
      <c r="I309" s="14" t="s">
        <v>21</v>
      </c>
    </row>
    <row r="310" spans="1:9" ht="12.5">
      <c r="A310" s="14">
        <v>792660</v>
      </c>
      <c r="B310" s="14" t="s">
        <v>672</v>
      </c>
      <c r="C310" s="14" t="s">
        <v>677</v>
      </c>
      <c r="D310" s="14" t="s">
        <v>1815</v>
      </c>
      <c r="E310" s="14" t="s">
        <v>1816</v>
      </c>
      <c r="F310" s="14" t="s">
        <v>1817</v>
      </c>
      <c r="G310" s="15">
        <v>4.24</v>
      </c>
      <c r="H310" s="15">
        <v>2.2000000000000002</v>
      </c>
      <c r="I310" s="14" t="s">
        <v>21</v>
      </c>
    </row>
    <row r="311" spans="1:9" ht="12.5">
      <c r="A311" s="16">
        <v>1435626</v>
      </c>
      <c r="B311" s="17" t="s">
        <v>672</v>
      </c>
      <c r="C311" s="17" t="s">
        <v>695</v>
      </c>
      <c r="D311" s="14" t="s">
        <v>1818</v>
      </c>
      <c r="E311" s="14" t="s">
        <v>1819</v>
      </c>
      <c r="F311" s="14" t="s">
        <v>1570</v>
      </c>
      <c r="G311" s="15">
        <v>4.2300000000000004</v>
      </c>
      <c r="H311" s="15">
        <v>5.0999999999999996</v>
      </c>
      <c r="I311" s="18" t="s">
        <v>21</v>
      </c>
    </row>
    <row r="312" spans="1:9" ht="12.5">
      <c r="A312" s="16">
        <v>1496004</v>
      </c>
      <c r="B312" s="17" t="s">
        <v>768</v>
      </c>
      <c r="C312" s="17" t="s">
        <v>772</v>
      </c>
      <c r="D312" s="14" t="s">
        <v>1820</v>
      </c>
      <c r="E312" s="14" t="s">
        <v>1821</v>
      </c>
      <c r="F312" s="14" t="s">
        <v>1189</v>
      </c>
      <c r="G312" s="15">
        <v>4.49</v>
      </c>
      <c r="H312" s="15">
        <v>22.6</v>
      </c>
      <c r="I312" s="18" t="s">
        <v>21</v>
      </c>
    </row>
    <row r="313" spans="1:9" ht="12.5">
      <c r="A313" s="16">
        <v>1757704</v>
      </c>
      <c r="B313" s="14" t="s">
        <v>768</v>
      </c>
      <c r="C313" s="17" t="s">
        <v>769</v>
      </c>
      <c r="D313" s="14" t="s">
        <v>1822</v>
      </c>
      <c r="E313" s="14" t="s">
        <v>1823</v>
      </c>
      <c r="F313" s="14" t="s">
        <v>1189</v>
      </c>
      <c r="G313" s="15">
        <v>4.58</v>
      </c>
      <c r="H313" s="15">
        <v>11.2</v>
      </c>
      <c r="I313" s="18" t="s">
        <v>21</v>
      </c>
    </row>
    <row r="314" spans="1:9" ht="12.5">
      <c r="A314" s="16">
        <v>1316808</v>
      </c>
      <c r="B314" s="17" t="s">
        <v>768</v>
      </c>
      <c r="C314" s="17" t="s">
        <v>795</v>
      </c>
      <c r="D314" s="14" t="s">
        <v>1824</v>
      </c>
      <c r="E314" s="14" t="s">
        <v>1825</v>
      </c>
      <c r="F314" s="14" t="s">
        <v>1826</v>
      </c>
      <c r="G314" s="15">
        <v>4.09</v>
      </c>
      <c r="H314" s="15">
        <v>9.4</v>
      </c>
      <c r="I314" s="18" t="s">
        <v>17</v>
      </c>
    </row>
    <row r="315" spans="1:9" ht="12.5">
      <c r="A315" s="16">
        <v>2126546</v>
      </c>
      <c r="B315" s="17" t="s">
        <v>768</v>
      </c>
      <c r="C315" s="17" t="s">
        <v>776</v>
      </c>
      <c r="D315" s="14" t="s">
        <v>1827</v>
      </c>
      <c r="E315" s="14" t="s">
        <v>1828</v>
      </c>
      <c r="F315" s="14" t="s">
        <v>1374</v>
      </c>
      <c r="G315" s="15">
        <v>4.53</v>
      </c>
      <c r="H315" s="15">
        <v>13.9</v>
      </c>
      <c r="I315" s="18" t="s">
        <v>21</v>
      </c>
    </row>
    <row r="316" spans="1:9" ht="12.5">
      <c r="A316" s="16">
        <v>949006</v>
      </c>
      <c r="B316" s="14" t="s">
        <v>768</v>
      </c>
      <c r="C316" s="17" t="s">
        <v>795</v>
      </c>
      <c r="D316" s="14" t="s">
        <v>1829</v>
      </c>
      <c r="E316" s="14" t="s">
        <v>1830</v>
      </c>
      <c r="F316" s="14" t="s">
        <v>1831</v>
      </c>
      <c r="G316" s="15">
        <v>4.42</v>
      </c>
      <c r="H316" s="15">
        <v>1.8</v>
      </c>
      <c r="I316" s="18" t="s">
        <v>21</v>
      </c>
    </row>
    <row r="317" spans="1:9" ht="12.5">
      <c r="A317" s="16">
        <v>2672524</v>
      </c>
      <c r="B317" s="14" t="s">
        <v>768</v>
      </c>
      <c r="C317" s="17" t="s">
        <v>769</v>
      </c>
      <c r="D317" s="14" t="s">
        <v>1832</v>
      </c>
      <c r="E317" s="14" t="s">
        <v>1833</v>
      </c>
      <c r="F317" s="14" t="s">
        <v>1189</v>
      </c>
      <c r="G317" s="15">
        <v>4.33</v>
      </c>
      <c r="H317" s="15">
        <v>19.8</v>
      </c>
      <c r="I317" s="18" t="s">
        <v>21</v>
      </c>
    </row>
    <row r="318" spans="1:9" ht="12.5">
      <c r="A318" s="14">
        <v>1984288</v>
      </c>
      <c r="B318" s="14" t="s">
        <v>768</v>
      </c>
      <c r="C318" s="14" t="s">
        <v>769</v>
      </c>
      <c r="D318" s="14" t="s">
        <v>1834</v>
      </c>
      <c r="E318" s="14" t="s">
        <v>1835</v>
      </c>
      <c r="F318" s="14" t="s">
        <v>1826</v>
      </c>
      <c r="G318" s="15">
        <v>4.2300000000000004</v>
      </c>
      <c r="H318" s="15">
        <v>3.7</v>
      </c>
      <c r="I318" s="14" t="s">
        <v>17</v>
      </c>
    </row>
    <row r="319" spans="1:9" ht="12.5">
      <c r="A319" s="16">
        <v>2775928</v>
      </c>
      <c r="B319" s="17" t="s">
        <v>768</v>
      </c>
      <c r="C319" s="17" t="s">
        <v>795</v>
      </c>
      <c r="D319" s="14" t="s">
        <v>1836</v>
      </c>
      <c r="E319" s="14" t="s">
        <v>1837</v>
      </c>
      <c r="F319" s="14" t="s">
        <v>1838</v>
      </c>
      <c r="G319" s="15">
        <v>4.4800000000000004</v>
      </c>
      <c r="H319" s="15">
        <v>1.4</v>
      </c>
      <c r="I319" s="18" t="s">
        <v>17</v>
      </c>
    </row>
    <row r="320" spans="1:9" ht="12.5">
      <c r="A320" s="16">
        <v>1657806</v>
      </c>
      <c r="B320" s="17" t="s">
        <v>768</v>
      </c>
      <c r="C320" s="17" t="s">
        <v>827</v>
      </c>
      <c r="D320" s="14" t="s">
        <v>1839</v>
      </c>
      <c r="E320" s="14" t="s">
        <v>1840</v>
      </c>
      <c r="F320" s="14" t="s">
        <v>1531</v>
      </c>
      <c r="G320" s="15">
        <v>4.16</v>
      </c>
      <c r="H320" s="15">
        <v>1.2</v>
      </c>
      <c r="I320" s="18" t="s">
        <v>21</v>
      </c>
    </row>
    <row r="321" spans="1:9" ht="12.5">
      <c r="A321" s="16">
        <v>929120</v>
      </c>
      <c r="B321" s="17" t="s">
        <v>768</v>
      </c>
      <c r="C321" s="17" t="s">
        <v>827</v>
      </c>
      <c r="D321" s="14" t="s">
        <v>1841</v>
      </c>
      <c r="E321" s="14" t="s">
        <v>1842</v>
      </c>
      <c r="F321" s="14" t="s">
        <v>1843</v>
      </c>
      <c r="G321" s="15">
        <v>4</v>
      </c>
      <c r="H321" s="15">
        <v>3.8</v>
      </c>
      <c r="I321" s="18" t="s">
        <v>72</v>
      </c>
    </row>
    <row r="322" spans="1:9" ht="12.5">
      <c r="A322" s="16">
        <v>1688490</v>
      </c>
      <c r="B322" s="17" t="s">
        <v>768</v>
      </c>
      <c r="C322" s="17" t="s">
        <v>786</v>
      </c>
      <c r="D322" s="14" t="s">
        <v>1844</v>
      </c>
      <c r="E322" s="14" t="s">
        <v>1845</v>
      </c>
      <c r="F322" s="14" t="s">
        <v>1846</v>
      </c>
      <c r="G322" s="15">
        <v>4.32</v>
      </c>
      <c r="H322" s="15">
        <v>5.3</v>
      </c>
      <c r="I322" s="18" t="s">
        <v>72</v>
      </c>
    </row>
    <row r="323" spans="1:9" ht="12.5">
      <c r="A323" s="14">
        <v>720528</v>
      </c>
      <c r="B323" s="14" t="s">
        <v>768</v>
      </c>
      <c r="C323" s="14" t="s">
        <v>792</v>
      </c>
      <c r="D323" s="14" t="s">
        <v>1847</v>
      </c>
      <c r="E323" s="14" t="s">
        <v>1848</v>
      </c>
      <c r="F323" s="14" t="s">
        <v>1849</v>
      </c>
      <c r="G323" s="15">
        <v>4.3099999999999996</v>
      </c>
      <c r="H323" s="15">
        <v>2.8</v>
      </c>
      <c r="I323" s="14" t="s">
        <v>17</v>
      </c>
    </row>
    <row r="324" spans="1:9" ht="12.5">
      <c r="A324" s="14">
        <v>1809284</v>
      </c>
      <c r="B324" s="14" t="s">
        <v>768</v>
      </c>
      <c r="C324" s="14" t="s">
        <v>795</v>
      </c>
      <c r="D324" s="14" t="s">
        <v>1850</v>
      </c>
      <c r="E324" s="14" t="s">
        <v>1851</v>
      </c>
      <c r="F324" s="14" t="s">
        <v>1838</v>
      </c>
      <c r="G324" s="15">
        <v>4.58</v>
      </c>
      <c r="H324" s="15">
        <v>1.4</v>
      </c>
      <c r="I324" s="14" t="s">
        <v>17</v>
      </c>
    </row>
    <row r="325" spans="1:9" ht="12.5">
      <c r="A325" s="16">
        <v>1348822</v>
      </c>
      <c r="B325" s="17" t="s">
        <v>768</v>
      </c>
      <c r="C325" s="17" t="s">
        <v>786</v>
      </c>
      <c r="D325" s="14" t="s">
        <v>1852</v>
      </c>
      <c r="E325" s="14" t="s">
        <v>1853</v>
      </c>
      <c r="F325" s="14" t="s">
        <v>1846</v>
      </c>
      <c r="G325" s="15">
        <v>3.95</v>
      </c>
      <c r="H325" s="15">
        <v>6.6</v>
      </c>
      <c r="I325" s="18" t="s">
        <v>17</v>
      </c>
    </row>
    <row r="326" spans="1:9" ht="12.5">
      <c r="A326" s="16">
        <v>1065450</v>
      </c>
      <c r="B326" s="14" t="s">
        <v>768</v>
      </c>
      <c r="C326" s="17" t="s">
        <v>772</v>
      </c>
      <c r="D326" s="14" t="s">
        <v>1854</v>
      </c>
      <c r="E326" s="14" t="s">
        <v>1855</v>
      </c>
      <c r="F326" s="14" t="s">
        <v>1831</v>
      </c>
      <c r="G326" s="15">
        <v>4.58</v>
      </c>
      <c r="H326" s="15">
        <v>2</v>
      </c>
      <c r="I326" s="18" t="s">
        <v>21</v>
      </c>
    </row>
    <row r="327" spans="1:9" ht="12.5">
      <c r="A327" s="16">
        <v>1170038</v>
      </c>
      <c r="B327" s="17" t="s">
        <v>768</v>
      </c>
      <c r="C327" s="17" t="s">
        <v>795</v>
      </c>
      <c r="D327" s="14" t="s">
        <v>1856</v>
      </c>
      <c r="E327" s="14" t="s">
        <v>1857</v>
      </c>
      <c r="F327" s="14" t="s">
        <v>1858</v>
      </c>
      <c r="G327" s="15">
        <v>4.5199999999999996</v>
      </c>
      <c r="H327" s="15">
        <v>0.7</v>
      </c>
      <c r="I327" s="18" t="s">
        <v>17</v>
      </c>
    </row>
    <row r="328" spans="1:9" ht="12.5">
      <c r="A328" s="16">
        <v>1952464</v>
      </c>
      <c r="B328" s="14" t="s">
        <v>768</v>
      </c>
      <c r="C328" s="17" t="s">
        <v>772</v>
      </c>
      <c r="D328" s="14" t="s">
        <v>1859</v>
      </c>
      <c r="E328" s="14" t="s">
        <v>1860</v>
      </c>
      <c r="F328" s="14" t="s">
        <v>1861</v>
      </c>
      <c r="G328" s="15">
        <v>4.33</v>
      </c>
      <c r="H328" s="15">
        <v>1.8</v>
      </c>
      <c r="I328" s="18" t="s">
        <v>259</v>
      </c>
    </row>
    <row r="329" spans="1:9" ht="12.5">
      <c r="A329" s="14">
        <v>1229198</v>
      </c>
      <c r="B329" s="14" t="s">
        <v>768</v>
      </c>
      <c r="C329" s="14" t="s">
        <v>776</v>
      </c>
      <c r="D329" s="14" t="s">
        <v>1862</v>
      </c>
      <c r="E329" s="14" t="s">
        <v>1863</v>
      </c>
      <c r="F329" s="14" t="s">
        <v>1858</v>
      </c>
      <c r="G329" s="15">
        <v>4.5199999999999996</v>
      </c>
      <c r="H329" s="15">
        <v>1.1000000000000001</v>
      </c>
      <c r="I329" s="14" t="s">
        <v>72</v>
      </c>
    </row>
    <row r="330" spans="1:9" ht="12.5">
      <c r="A330" s="16">
        <v>1590552</v>
      </c>
      <c r="B330" s="17" t="s">
        <v>768</v>
      </c>
      <c r="C330" s="17" t="s">
        <v>776</v>
      </c>
      <c r="D330" s="14" t="s">
        <v>1864</v>
      </c>
      <c r="E330" s="14" t="s">
        <v>1865</v>
      </c>
      <c r="F330" s="14" t="s">
        <v>1233</v>
      </c>
      <c r="G330" s="15">
        <v>4.54</v>
      </c>
      <c r="H330" s="15">
        <v>3.6</v>
      </c>
      <c r="I330" s="18" t="s">
        <v>21</v>
      </c>
    </row>
    <row r="331" spans="1:9" ht="12.5">
      <c r="A331" s="14">
        <v>2286997</v>
      </c>
      <c r="B331" s="14" t="s">
        <v>768</v>
      </c>
      <c r="C331" s="14" t="s">
        <v>769</v>
      </c>
      <c r="D331" s="14" t="s">
        <v>1866</v>
      </c>
      <c r="E331" s="14" t="s">
        <v>1866</v>
      </c>
      <c r="F331" s="14" t="s">
        <v>1867</v>
      </c>
      <c r="G331" s="15">
        <v>3.85</v>
      </c>
      <c r="H331" s="15">
        <v>3.2</v>
      </c>
      <c r="I331" s="14" t="s">
        <v>21</v>
      </c>
    </row>
    <row r="332" spans="1:9" ht="12.5">
      <c r="A332" s="14">
        <v>1454816</v>
      </c>
      <c r="B332" s="14" t="s">
        <v>768</v>
      </c>
      <c r="C332" s="14" t="s">
        <v>786</v>
      </c>
      <c r="D332" s="14" t="s">
        <v>1868</v>
      </c>
      <c r="E332" s="14" t="s">
        <v>1869</v>
      </c>
      <c r="F332" s="14" t="s">
        <v>1870</v>
      </c>
      <c r="G332" s="15">
        <v>4.7300000000000004</v>
      </c>
      <c r="H332" s="15">
        <v>3.6</v>
      </c>
      <c r="I332" s="14" t="s">
        <v>21</v>
      </c>
    </row>
    <row r="333" spans="1:9" ht="12.5">
      <c r="A333" s="16">
        <v>1603282</v>
      </c>
      <c r="B333" s="14" t="s">
        <v>768</v>
      </c>
      <c r="C333" s="17" t="s">
        <v>772</v>
      </c>
      <c r="D333" s="14" t="s">
        <v>1871</v>
      </c>
      <c r="E333" s="14" t="s">
        <v>1872</v>
      </c>
      <c r="F333" s="14" t="s">
        <v>1873</v>
      </c>
      <c r="G333" s="15">
        <v>4.21</v>
      </c>
      <c r="H333" s="15">
        <v>2.4</v>
      </c>
      <c r="I333" s="18" t="s">
        <v>21</v>
      </c>
    </row>
    <row r="334" spans="1:9" ht="12.5">
      <c r="A334" s="16">
        <v>1622072</v>
      </c>
      <c r="B334" s="17" t="s">
        <v>768</v>
      </c>
      <c r="C334" s="17" t="s">
        <v>769</v>
      </c>
      <c r="D334" s="14" t="s">
        <v>1874</v>
      </c>
      <c r="E334" s="14" t="s">
        <v>1875</v>
      </c>
      <c r="F334" s="14" t="s">
        <v>1297</v>
      </c>
      <c r="G334" s="15">
        <v>3.98</v>
      </c>
      <c r="H334" s="15">
        <v>2</v>
      </c>
      <c r="I334" s="18" t="s">
        <v>17</v>
      </c>
    </row>
    <row r="335" spans="1:9" ht="12.5">
      <c r="A335" s="16">
        <v>2235238</v>
      </c>
      <c r="B335" s="14" t="s">
        <v>768</v>
      </c>
      <c r="C335" s="14" t="s">
        <v>792</v>
      </c>
      <c r="D335" s="14" t="s">
        <v>1876</v>
      </c>
      <c r="E335" s="14" t="s">
        <v>1877</v>
      </c>
      <c r="F335" s="14" t="s">
        <v>1492</v>
      </c>
      <c r="G335" s="15">
        <v>4.67</v>
      </c>
      <c r="H335" s="15">
        <v>2.8</v>
      </c>
      <c r="I335" s="18" t="s">
        <v>21</v>
      </c>
    </row>
    <row r="336" spans="1:9" ht="12.5">
      <c r="A336" s="16">
        <v>1106442</v>
      </c>
      <c r="B336" s="17" t="s">
        <v>768</v>
      </c>
      <c r="C336" s="17" t="s">
        <v>792</v>
      </c>
      <c r="D336" s="14" t="s">
        <v>1878</v>
      </c>
      <c r="E336" s="14" t="s">
        <v>1879</v>
      </c>
      <c r="F336" s="14" t="s">
        <v>1100</v>
      </c>
      <c r="G336" s="15">
        <v>4.51</v>
      </c>
      <c r="H336" s="15">
        <v>3.6</v>
      </c>
      <c r="I336" s="18" t="s">
        <v>72</v>
      </c>
    </row>
    <row r="337" spans="1:9" ht="12.5">
      <c r="A337" s="16">
        <v>1942732</v>
      </c>
      <c r="B337" s="17" t="s">
        <v>768</v>
      </c>
      <c r="C337" s="17" t="s">
        <v>776</v>
      </c>
      <c r="D337" s="14" t="s">
        <v>1880</v>
      </c>
      <c r="E337" s="14" t="s">
        <v>1881</v>
      </c>
      <c r="F337" s="14" t="s">
        <v>1882</v>
      </c>
      <c r="G337" s="15">
        <v>4.26</v>
      </c>
      <c r="H337" s="15">
        <v>2.7</v>
      </c>
      <c r="I337" s="18" t="s">
        <v>21</v>
      </c>
    </row>
    <row r="338" spans="1:9" ht="12.5">
      <c r="A338" s="16">
        <v>1573650</v>
      </c>
      <c r="B338" s="14" t="s">
        <v>768</v>
      </c>
      <c r="C338" s="17" t="s">
        <v>772</v>
      </c>
      <c r="D338" s="14" t="s">
        <v>1883</v>
      </c>
      <c r="E338" s="14" t="s">
        <v>1884</v>
      </c>
      <c r="F338" s="14" t="s">
        <v>1885</v>
      </c>
      <c r="G338" s="15">
        <v>4.34</v>
      </c>
      <c r="H338" s="15">
        <v>2.7</v>
      </c>
      <c r="I338" s="18" t="s">
        <v>21</v>
      </c>
    </row>
    <row r="339" spans="1:9" ht="12.5">
      <c r="A339" s="14">
        <v>2235936</v>
      </c>
      <c r="B339" s="14" t="s">
        <v>768</v>
      </c>
      <c r="C339" s="14" t="s">
        <v>795</v>
      </c>
      <c r="D339" s="14" t="s">
        <v>1886</v>
      </c>
      <c r="E339" s="14" t="s">
        <v>1887</v>
      </c>
      <c r="F339" s="14" t="s">
        <v>1838</v>
      </c>
      <c r="G339" s="15">
        <v>4.26</v>
      </c>
      <c r="H339" s="15">
        <v>1.6</v>
      </c>
      <c r="I339" s="14" t="s">
        <v>17</v>
      </c>
    </row>
    <row r="340" spans="1:9" ht="12.5">
      <c r="A340" s="16">
        <v>1400452</v>
      </c>
      <c r="B340" s="17" t="s">
        <v>768</v>
      </c>
      <c r="C340" s="17" t="s">
        <v>827</v>
      </c>
      <c r="D340" s="14" t="s">
        <v>1888</v>
      </c>
      <c r="E340" s="14" t="s">
        <v>1889</v>
      </c>
      <c r="F340" s="14" t="s">
        <v>1570</v>
      </c>
      <c r="G340" s="15">
        <v>4.16</v>
      </c>
      <c r="H340" s="15">
        <v>2.9</v>
      </c>
      <c r="I340" s="18" t="s">
        <v>21</v>
      </c>
    </row>
    <row r="341" spans="1:9" ht="12.5">
      <c r="A341" s="16">
        <v>1255236</v>
      </c>
      <c r="B341" s="17" t="s">
        <v>768</v>
      </c>
      <c r="C341" s="17" t="s">
        <v>772</v>
      </c>
      <c r="D341" s="14" t="s">
        <v>1890</v>
      </c>
      <c r="E341" s="14" t="s">
        <v>1891</v>
      </c>
      <c r="F341" s="14" t="s">
        <v>1892</v>
      </c>
      <c r="G341" s="15">
        <v>4.92</v>
      </c>
      <c r="H341" s="15">
        <v>2.4</v>
      </c>
      <c r="I341" s="18" t="s">
        <v>17</v>
      </c>
    </row>
    <row r="342" spans="1:9" ht="12.5">
      <c r="A342" s="14">
        <v>2858842</v>
      </c>
      <c r="B342" s="14" t="s">
        <v>768</v>
      </c>
      <c r="C342" s="14" t="s">
        <v>827</v>
      </c>
      <c r="D342" s="14" t="s">
        <v>1893</v>
      </c>
      <c r="E342" s="14" t="s">
        <v>1894</v>
      </c>
      <c r="F342" s="14" t="s">
        <v>1895</v>
      </c>
      <c r="G342" s="15">
        <v>4.26</v>
      </c>
      <c r="H342" s="15">
        <v>1.3</v>
      </c>
      <c r="I342" s="14" t="s">
        <v>17</v>
      </c>
    </row>
    <row r="343" spans="1:9" ht="12.5">
      <c r="A343" s="16">
        <v>790642</v>
      </c>
      <c r="B343" s="14" t="s">
        <v>768</v>
      </c>
      <c r="C343" s="17" t="s">
        <v>769</v>
      </c>
      <c r="D343" s="14" t="s">
        <v>1896</v>
      </c>
      <c r="E343" s="14" t="s">
        <v>1897</v>
      </c>
      <c r="F343" s="14" t="s">
        <v>1898</v>
      </c>
      <c r="G343" s="15">
        <v>4.72</v>
      </c>
      <c r="H343" s="15">
        <v>0.9</v>
      </c>
      <c r="I343" s="18" t="s">
        <v>17</v>
      </c>
    </row>
    <row r="344" spans="1:9" ht="12.5">
      <c r="A344" s="14">
        <v>2591016</v>
      </c>
      <c r="B344" s="14" t="s">
        <v>768</v>
      </c>
      <c r="C344" s="14" t="s">
        <v>772</v>
      </c>
      <c r="D344" s="14" t="s">
        <v>1899</v>
      </c>
      <c r="E344" s="14" t="s">
        <v>1899</v>
      </c>
      <c r="F344" s="14" t="s">
        <v>1900</v>
      </c>
      <c r="G344" s="15">
        <v>4.1900000000000004</v>
      </c>
      <c r="H344" s="15">
        <v>1.8</v>
      </c>
      <c r="I344" s="14" t="s">
        <v>17</v>
      </c>
    </row>
    <row r="345" spans="1:9" ht="12.5">
      <c r="A345" s="14">
        <v>1935242</v>
      </c>
      <c r="B345" s="14" t="s">
        <v>768</v>
      </c>
      <c r="C345" s="14" t="s">
        <v>776</v>
      </c>
      <c r="D345" s="14" t="s">
        <v>1901</v>
      </c>
      <c r="E345" s="14" t="s">
        <v>1902</v>
      </c>
      <c r="F345" s="14" t="s">
        <v>1492</v>
      </c>
      <c r="G345" s="15">
        <v>4.4000000000000004</v>
      </c>
      <c r="H345" s="15">
        <v>5.9</v>
      </c>
      <c r="I345" s="14" t="s">
        <v>17</v>
      </c>
    </row>
    <row r="346" spans="1:9" ht="12.5">
      <c r="A346" s="16">
        <v>1182864</v>
      </c>
      <c r="B346" s="17" t="s">
        <v>768</v>
      </c>
      <c r="C346" s="17" t="s">
        <v>769</v>
      </c>
      <c r="D346" s="14" t="s">
        <v>1903</v>
      </c>
      <c r="E346" s="14" t="s">
        <v>1904</v>
      </c>
      <c r="F346" s="14" t="s">
        <v>1905</v>
      </c>
      <c r="G346" s="15">
        <v>4.46</v>
      </c>
      <c r="H346" s="15">
        <v>4.4000000000000004</v>
      </c>
      <c r="I346" s="18" t="s">
        <v>17</v>
      </c>
    </row>
    <row r="347" spans="1:9" ht="12.5">
      <c r="A347" s="14">
        <v>2133570</v>
      </c>
      <c r="B347" s="14" t="s">
        <v>768</v>
      </c>
      <c r="C347" s="14" t="s">
        <v>769</v>
      </c>
      <c r="D347" s="14" t="s">
        <v>1906</v>
      </c>
      <c r="E347" s="14" t="s">
        <v>1907</v>
      </c>
      <c r="F347" s="14" t="s">
        <v>1908</v>
      </c>
      <c r="G347" s="15">
        <v>3.9</v>
      </c>
      <c r="H347" s="15">
        <v>2.2000000000000002</v>
      </c>
      <c r="I347" s="14" t="s">
        <v>17</v>
      </c>
    </row>
    <row r="348" spans="1:9" ht="12.5">
      <c r="A348" s="14">
        <v>1400460</v>
      </c>
      <c r="B348" s="14" t="s">
        <v>768</v>
      </c>
      <c r="C348" s="14" t="s">
        <v>795</v>
      </c>
      <c r="D348" s="14" t="s">
        <v>1909</v>
      </c>
      <c r="E348" s="14" t="s">
        <v>1910</v>
      </c>
      <c r="F348" s="14" t="s">
        <v>1570</v>
      </c>
      <c r="G348" s="15">
        <v>4.6900000000000004</v>
      </c>
      <c r="H348" s="15">
        <v>8.4</v>
      </c>
      <c r="I348" s="18" t="s">
        <v>21</v>
      </c>
    </row>
    <row r="349" spans="1:9" ht="12.5">
      <c r="A349" s="14">
        <v>577166</v>
      </c>
      <c r="B349" s="14" t="s">
        <v>768</v>
      </c>
      <c r="C349" s="14" t="s">
        <v>772</v>
      </c>
      <c r="D349" s="14" t="s">
        <v>1911</v>
      </c>
      <c r="E349" s="14" t="s">
        <v>1912</v>
      </c>
      <c r="F349" s="14" t="s">
        <v>1913</v>
      </c>
      <c r="G349" s="15">
        <v>4.45</v>
      </c>
      <c r="H349" s="15">
        <v>1.4</v>
      </c>
      <c r="I349" s="14" t="s">
        <v>17</v>
      </c>
    </row>
    <row r="350" spans="1:9" ht="12.5">
      <c r="A350" s="14">
        <v>1493316</v>
      </c>
      <c r="B350" s="14" t="s">
        <v>768</v>
      </c>
      <c r="C350" s="14" t="s">
        <v>786</v>
      </c>
      <c r="D350" s="14" t="s">
        <v>1914</v>
      </c>
      <c r="E350" s="14" t="s">
        <v>1915</v>
      </c>
      <c r="F350" s="14" t="s">
        <v>1916</v>
      </c>
      <c r="G350" s="15">
        <v>3.96</v>
      </c>
      <c r="H350" s="15">
        <v>12</v>
      </c>
      <c r="I350" s="14" t="s">
        <v>21</v>
      </c>
    </row>
    <row r="351" spans="1:9" ht="12.5">
      <c r="A351" s="14">
        <v>1219236</v>
      </c>
      <c r="B351" s="14" t="s">
        <v>768</v>
      </c>
      <c r="C351" s="14" t="s">
        <v>772</v>
      </c>
      <c r="D351" s="14" t="s">
        <v>1917</v>
      </c>
      <c r="E351" s="14" t="s">
        <v>1918</v>
      </c>
      <c r="F351" s="14" t="s">
        <v>1260</v>
      </c>
      <c r="G351" s="15">
        <v>4.0999999999999996</v>
      </c>
      <c r="H351" s="15">
        <v>2.1</v>
      </c>
      <c r="I351" s="14" t="s">
        <v>21</v>
      </c>
    </row>
    <row r="352" spans="1:9" ht="12.5">
      <c r="A352" s="16">
        <v>1321492</v>
      </c>
      <c r="B352" s="17" t="s">
        <v>768</v>
      </c>
      <c r="C352" s="17" t="s">
        <v>776</v>
      </c>
      <c r="D352" s="14" t="s">
        <v>1919</v>
      </c>
      <c r="E352" s="14" t="s">
        <v>1920</v>
      </c>
      <c r="F352" s="14" t="s">
        <v>1921</v>
      </c>
      <c r="G352" s="15">
        <v>3.91</v>
      </c>
      <c r="H352" s="15">
        <v>2.1</v>
      </c>
      <c r="I352" s="18" t="s">
        <v>21</v>
      </c>
    </row>
    <row r="353" spans="1:9" ht="12.5">
      <c r="A353" s="14">
        <v>1592594</v>
      </c>
      <c r="B353" s="14" t="s">
        <v>768</v>
      </c>
      <c r="C353" s="14" t="s">
        <v>769</v>
      </c>
      <c r="D353" s="14" t="s">
        <v>1922</v>
      </c>
      <c r="E353" s="14" t="s">
        <v>1923</v>
      </c>
      <c r="F353" s="14" t="s">
        <v>1916</v>
      </c>
      <c r="G353" s="15">
        <v>4.28</v>
      </c>
      <c r="H353" s="15">
        <v>19.3</v>
      </c>
      <c r="I353" s="14" t="s">
        <v>21</v>
      </c>
    </row>
    <row r="354" spans="1:9" ht="12.5">
      <c r="A354" s="14">
        <v>1472750</v>
      </c>
      <c r="B354" s="14" t="s">
        <v>768</v>
      </c>
      <c r="C354" s="14" t="s">
        <v>776</v>
      </c>
      <c r="D354" s="14" t="s">
        <v>1924</v>
      </c>
      <c r="E354" s="14" t="s">
        <v>1925</v>
      </c>
      <c r="F354" s="14" t="s">
        <v>1870</v>
      </c>
      <c r="G354" s="15">
        <v>4.03</v>
      </c>
      <c r="H354" s="15">
        <v>6.4</v>
      </c>
      <c r="I354" s="18" t="s">
        <v>21</v>
      </c>
    </row>
    <row r="355" spans="1:9" ht="12.5">
      <c r="A355" s="16">
        <v>1622104</v>
      </c>
      <c r="B355" s="17" t="s">
        <v>768</v>
      </c>
      <c r="C355" s="17" t="s">
        <v>769</v>
      </c>
      <c r="D355" s="14" t="s">
        <v>1926</v>
      </c>
      <c r="E355" s="14" t="s">
        <v>1927</v>
      </c>
      <c r="F355" s="14" t="s">
        <v>1297</v>
      </c>
      <c r="G355" s="15">
        <v>4.1500000000000004</v>
      </c>
      <c r="H355" s="15">
        <v>2.1</v>
      </c>
      <c r="I355" s="18" t="s">
        <v>17</v>
      </c>
    </row>
    <row r="356" spans="1:9" ht="12.5">
      <c r="A356" s="16">
        <v>2607520</v>
      </c>
      <c r="B356" s="17" t="s">
        <v>768</v>
      </c>
      <c r="C356" s="17" t="s">
        <v>795</v>
      </c>
      <c r="D356" s="14" t="s">
        <v>1928</v>
      </c>
      <c r="E356" s="14" t="s">
        <v>1929</v>
      </c>
      <c r="F356" s="14" t="s">
        <v>1930</v>
      </c>
      <c r="G356" s="15">
        <v>4.9000000000000004</v>
      </c>
      <c r="H356" s="15">
        <v>3.9</v>
      </c>
      <c r="I356" s="18" t="s">
        <v>17</v>
      </c>
    </row>
    <row r="357" spans="1:9" ht="12.5">
      <c r="A357" s="14">
        <v>2228746</v>
      </c>
      <c r="B357" s="14" t="s">
        <v>768</v>
      </c>
      <c r="C357" s="14" t="s">
        <v>827</v>
      </c>
      <c r="D357" s="14" t="s">
        <v>1931</v>
      </c>
      <c r="E357" s="14" t="s">
        <v>1932</v>
      </c>
      <c r="F357" s="14" t="s">
        <v>1933</v>
      </c>
      <c r="G357" s="15">
        <v>4.3499999999999996</v>
      </c>
      <c r="H357" s="15">
        <v>3</v>
      </c>
      <c r="I357" s="14" t="s">
        <v>17</v>
      </c>
    </row>
    <row r="358" spans="1:9" ht="12.5">
      <c r="A358" s="16">
        <v>1022780</v>
      </c>
      <c r="B358" s="14" t="s">
        <v>768</v>
      </c>
      <c r="C358" s="17" t="s">
        <v>795</v>
      </c>
      <c r="D358" s="14" t="s">
        <v>1934</v>
      </c>
      <c r="E358" s="14" t="s">
        <v>1935</v>
      </c>
      <c r="F358" s="14" t="s">
        <v>1936</v>
      </c>
      <c r="G358" s="15">
        <v>3.95</v>
      </c>
      <c r="H358" s="15">
        <v>1.9</v>
      </c>
      <c r="I358" s="18" t="s">
        <v>21</v>
      </c>
    </row>
    <row r="359" spans="1:9" ht="12.5">
      <c r="A359" s="16">
        <v>2453636</v>
      </c>
      <c r="B359" s="17" t="s">
        <v>768</v>
      </c>
      <c r="C359" s="17" t="s">
        <v>772</v>
      </c>
      <c r="D359" s="14" t="s">
        <v>1937</v>
      </c>
      <c r="E359" s="14" t="s">
        <v>1938</v>
      </c>
      <c r="F359" s="14" t="s">
        <v>1930</v>
      </c>
      <c r="G359" s="19">
        <v>4.34</v>
      </c>
      <c r="H359" s="15">
        <v>4</v>
      </c>
      <c r="I359" s="18" t="s">
        <v>17</v>
      </c>
    </row>
    <row r="360" spans="1:9" ht="12.5">
      <c r="A360" s="14">
        <v>1195806</v>
      </c>
      <c r="B360" s="14" t="s">
        <v>768</v>
      </c>
      <c r="C360" s="14" t="s">
        <v>769</v>
      </c>
      <c r="D360" s="14" t="s">
        <v>1939</v>
      </c>
      <c r="E360" s="14" t="s">
        <v>1940</v>
      </c>
      <c r="F360" s="14" t="s">
        <v>1826</v>
      </c>
      <c r="G360" s="15">
        <v>4.0999999999999996</v>
      </c>
      <c r="H360" s="15">
        <v>4.9000000000000004</v>
      </c>
      <c r="I360" s="18" t="s">
        <v>17</v>
      </c>
    </row>
    <row r="361" spans="1:9" ht="12.5">
      <c r="A361" s="16">
        <v>2781448</v>
      </c>
      <c r="B361" s="17" t="s">
        <v>864</v>
      </c>
      <c r="C361" s="17" t="s">
        <v>881</v>
      </c>
      <c r="D361" s="14" t="s">
        <v>1941</v>
      </c>
      <c r="E361" s="14" t="s">
        <v>1941</v>
      </c>
      <c r="F361" s="14" t="s">
        <v>1942</v>
      </c>
      <c r="G361" s="15">
        <v>4.29</v>
      </c>
      <c r="H361" s="15">
        <v>1.1000000000000001</v>
      </c>
      <c r="I361" s="18" t="s">
        <v>17</v>
      </c>
    </row>
    <row r="362" spans="1:9" ht="12.5">
      <c r="A362" s="14">
        <v>959724</v>
      </c>
      <c r="B362" s="14" t="s">
        <v>864</v>
      </c>
      <c r="C362" s="14" t="s">
        <v>865</v>
      </c>
      <c r="D362" s="14" t="s">
        <v>1943</v>
      </c>
      <c r="E362" s="14" t="s">
        <v>1944</v>
      </c>
      <c r="F362" s="14" t="s">
        <v>1945</v>
      </c>
      <c r="G362" s="15">
        <v>4.57</v>
      </c>
      <c r="H362" s="15">
        <v>50.1</v>
      </c>
      <c r="I362" s="14" t="s">
        <v>21</v>
      </c>
    </row>
    <row r="363" spans="1:9" ht="12.5">
      <c r="A363" s="14">
        <v>2960708</v>
      </c>
      <c r="B363" s="14" t="s">
        <v>864</v>
      </c>
      <c r="C363" s="14" t="s">
        <v>881</v>
      </c>
      <c r="D363" s="14" t="s">
        <v>1946</v>
      </c>
      <c r="E363" s="14" t="s">
        <v>1947</v>
      </c>
      <c r="F363" s="14" t="s">
        <v>1716</v>
      </c>
      <c r="G363" s="15">
        <v>4.55</v>
      </c>
      <c r="H363" s="15">
        <v>2.4</v>
      </c>
      <c r="I363" s="14" t="s">
        <v>21</v>
      </c>
    </row>
    <row r="364" spans="1:9" ht="12.5">
      <c r="A364" s="14">
        <v>2803851</v>
      </c>
      <c r="B364" s="14" t="s">
        <v>864</v>
      </c>
      <c r="C364" s="14" t="s">
        <v>881</v>
      </c>
      <c r="D364" s="14" t="s">
        <v>1948</v>
      </c>
      <c r="E364" s="14" t="s">
        <v>1949</v>
      </c>
      <c r="F364" s="14" t="s">
        <v>1950</v>
      </c>
      <c r="G364" s="15">
        <v>4.32</v>
      </c>
      <c r="H364" s="15">
        <v>24.9</v>
      </c>
      <c r="I364" s="14" t="s">
        <v>17</v>
      </c>
    </row>
    <row r="365" spans="1:9" ht="12.5">
      <c r="A365" s="16">
        <v>3570305</v>
      </c>
      <c r="B365" s="17" t="s">
        <v>864</v>
      </c>
      <c r="C365" s="17" t="s">
        <v>905</v>
      </c>
      <c r="D365" s="14" t="s">
        <v>1951</v>
      </c>
      <c r="E365" s="14" t="s">
        <v>1952</v>
      </c>
      <c r="F365" s="14" t="s">
        <v>1374</v>
      </c>
      <c r="G365" s="15">
        <v>4.51</v>
      </c>
      <c r="H365" s="15">
        <v>5.0999999999999996</v>
      </c>
      <c r="I365" s="18" t="s">
        <v>21</v>
      </c>
    </row>
    <row r="366" spans="1:9" ht="12.5">
      <c r="A366" s="16">
        <v>1839672</v>
      </c>
      <c r="B366" s="17" t="s">
        <v>864</v>
      </c>
      <c r="C366" s="17" t="s">
        <v>865</v>
      </c>
      <c r="D366" s="14" t="s">
        <v>1953</v>
      </c>
      <c r="E366" s="14" t="s">
        <v>1954</v>
      </c>
      <c r="F366" s="14" t="s">
        <v>1930</v>
      </c>
      <c r="G366" s="15">
        <v>4.58</v>
      </c>
      <c r="H366" s="15">
        <v>42.9</v>
      </c>
      <c r="I366" s="18" t="s">
        <v>21</v>
      </c>
    </row>
    <row r="367" spans="1:9" ht="12.5">
      <c r="A367" s="14">
        <v>1514566</v>
      </c>
      <c r="B367" s="14" t="s">
        <v>864</v>
      </c>
      <c r="C367" s="14" t="s">
        <v>865</v>
      </c>
      <c r="D367" s="14" t="s">
        <v>1955</v>
      </c>
      <c r="E367" s="14" t="s">
        <v>1956</v>
      </c>
      <c r="F367" s="14" t="s">
        <v>1957</v>
      </c>
      <c r="G367" s="15">
        <v>4.43</v>
      </c>
      <c r="H367" s="15">
        <v>9</v>
      </c>
      <c r="I367" s="14" t="s">
        <v>17</v>
      </c>
    </row>
    <row r="368" spans="1:9" ht="12.5">
      <c r="A368" s="16">
        <v>2726018</v>
      </c>
      <c r="B368" s="17" t="s">
        <v>864</v>
      </c>
      <c r="C368" s="17" t="s">
        <v>881</v>
      </c>
      <c r="D368" s="14" t="s">
        <v>1958</v>
      </c>
      <c r="E368" s="14" t="s">
        <v>1959</v>
      </c>
      <c r="F368" s="14" t="s">
        <v>1960</v>
      </c>
      <c r="G368" s="15">
        <v>4.28</v>
      </c>
      <c r="H368" s="15">
        <v>1.1000000000000001</v>
      </c>
      <c r="I368" s="18" t="s">
        <v>17</v>
      </c>
    </row>
    <row r="369" spans="1:9" ht="12.5">
      <c r="A369" s="14">
        <v>1808628</v>
      </c>
      <c r="B369" s="14" t="s">
        <v>864</v>
      </c>
      <c r="C369" s="14" t="s">
        <v>881</v>
      </c>
      <c r="D369" s="14" t="s">
        <v>1961</v>
      </c>
      <c r="E369" s="14" t="s">
        <v>1962</v>
      </c>
      <c r="F369" s="14" t="s">
        <v>1960</v>
      </c>
      <c r="G369" s="15">
        <v>4.01</v>
      </c>
      <c r="H369" s="15">
        <v>1.1000000000000001</v>
      </c>
      <c r="I369" s="14" t="s">
        <v>17</v>
      </c>
    </row>
    <row r="370" spans="1:9" ht="12.5">
      <c r="A370" s="14">
        <v>1148046</v>
      </c>
      <c r="B370" s="14" t="s">
        <v>864</v>
      </c>
      <c r="C370" s="14" t="s">
        <v>875</v>
      </c>
      <c r="D370" s="14" t="s">
        <v>1963</v>
      </c>
      <c r="E370" s="14" t="s">
        <v>1964</v>
      </c>
      <c r="F370" s="14" t="s">
        <v>1716</v>
      </c>
      <c r="G370" s="15">
        <v>4.5199999999999996</v>
      </c>
      <c r="H370" s="15">
        <v>2.2000000000000002</v>
      </c>
      <c r="I370" s="14" t="s">
        <v>21</v>
      </c>
    </row>
    <row r="371" spans="1:9" ht="12.5">
      <c r="A371" s="14">
        <v>1150594</v>
      </c>
      <c r="B371" s="14" t="s">
        <v>864</v>
      </c>
      <c r="C371" s="14" t="s">
        <v>865</v>
      </c>
      <c r="D371" s="14" t="s">
        <v>1965</v>
      </c>
      <c r="E371" s="14" t="s">
        <v>1966</v>
      </c>
      <c r="F371" s="14" t="s">
        <v>1967</v>
      </c>
      <c r="G371" s="15">
        <v>4.3899999999999997</v>
      </c>
      <c r="H371" s="15">
        <v>7.7</v>
      </c>
      <c r="I371" s="14" t="s">
        <v>21</v>
      </c>
    </row>
    <row r="372" spans="1:9" ht="12.5">
      <c r="A372" s="16">
        <v>1166364</v>
      </c>
      <c r="B372" s="17" t="s">
        <v>864</v>
      </c>
      <c r="C372" s="17" t="s">
        <v>865</v>
      </c>
      <c r="D372" s="14" t="s">
        <v>1968</v>
      </c>
      <c r="E372" s="14" t="s">
        <v>1969</v>
      </c>
      <c r="F372" s="14" t="s">
        <v>1945</v>
      </c>
      <c r="G372" s="15">
        <v>4.46</v>
      </c>
      <c r="H372" s="15">
        <v>22.1</v>
      </c>
      <c r="I372" s="18" t="s">
        <v>21</v>
      </c>
    </row>
    <row r="373" spans="1:9" ht="12.5">
      <c r="A373" s="16">
        <v>2516268</v>
      </c>
      <c r="B373" s="17" t="s">
        <v>864</v>
      </c>
      <c r="C373" s="17" t="s">
        <v>905</v>
      </c>
      <c r="D373" s="14" t="s">
        <v>1970</v>
      </c>
      <c r="E373" s="14" t="s">
        <v>1971</v>
      </c>
      <c r="F373" s="14" t="s">
        <v>1972</v>
      </c>
      <c r="G373" s="15">
        <v>4.3</v>
      </c>
      <c r="H373" s="15">
        <v>2.5</v>
      </c>
      <c r="I373" s="18" t="s">
        <v>17</v>
      </c>
    </row>
    <row r="374" spans="1:9" ht="12.5">
      <c r="A374" s="16">
        <v>1318190</v>
      </c>
      <c r="B374" s="17" t="s">
        <v>864</v>
      </c>
      <c r="C374" s="17" t="s">
        <v>865</v>
      </c>
      <c r="D374" s="14" t="s">
        <v>1973</v>
      </c>
      <c r="E374" s="14" t="s">
        <v>1974</v>
      </c>
      <c r="F374" s="14" t="s">
        <v>1945</v>
      </c>
      <c r="G374" s="15">
        <v>4.55</v>
      </c>
      <c r="H374" s="15">
        <v>6.5</v>
      </c>
      <c r="I374" s="18" t="s">
        <v>21</v>
      </c>
    </row>
    <row r="375" spans="1:9" ht="12.5">
      <c r="A375" s="16">
        <v>2137242</v>
      </c>
      <c r="B375" s="17" t="s">
        <v>864</v>
      </c>
      <c r="C375" s="17" t="s">
        <v>881</v>
      </c>
      <c r="D375" s="14" t="s">
        <v>1975</v>
      </c>
      <c r="E375" s="14" t="s">
        <v>1976</v>
      </c>
      <c r="F375" s="14" t="s">
        <v>1972</v>
      </c>
      <c r="G375" s="15">
        <v>4.3099999999999996</v>
      </c>
      <c r="H375" s="15">
        <v>1.6</v>
      </c>
      <c r="I375" s="18" t="s">
        <v>17</v>
      </c>
    </row>
    <row r="376" spans="1:9" ht="12.5">
      <c r="A376" s="16">
        <v>1580318</v>
      </c>
      <c r="B376" s="17" t="s">
        <v>864</v>
      </c>
      <c r="C376" s="17" t="s">
        <v>881</v>
      </c>
      <c r="D376" s="14" t="s">
        <v>1977</v>
      </c>
      <c r="E376" s="14" t="s">
        <v>1978</v>
      </c>
      <c r="F376" s="14" t="s">
        <v>1979</v>
      </c>
      <c r="G376" s="15">
        <v>4.59</v>
      </c>
      <c r="H376" s="15">
        <v>3.3</v>
      </c>
      <c r="I376" s="18" t="s">
        <v>17</v>
      </c>
    </row>
    <row r="377" spans="1:9" ht="12.5">
      <c r="A377" s="14">
        <v>2288577</v>
      </c>
      <c r="B377" s="14" t="s">
        <v>864</v>
      </c>
      <c r="C377" s="14" t="s">
        <v>875</v>
      </c>
      <c r="D377" s="14" t="s">
        <v>1980</v>
      </c>
      <c r="E377" s="14" t="s">
        <v>1981</v>
      </c>
      <c r="F377" s="14" t="s">
        <v>1982</v>
      </c>
      <c r="G377" s="15">
        <v>4.5599999999999996</v>
      </c>
      <c r="H377" s="15">
        <v>1</v>
      </c>
      <c r="I377" s="14" t="s">
        <v>259</v>
      </c>
    </row>
    <row r="378" spans="1:9" ht="12.5">
      <c r="A378" s="16">
        <v>699850</v>
      </c>
      <c r="B378" s="14" t="s">
        <v>864</v>
      </c>
      <c r="C378" s="17" t="s">
        <v>881</v>
      </c>
      <c r="D378" s="14" t="s">
        <v>1983</v>
      </c>
      <c r="E378" s="14" t="s">
        <v>1984</v>
      </c>
      <c r="F378" s="14" t="s">
        <v>1093</v>
      </c>
      <c r="G378" s="15">
        <v>4.6900000000000004</v>
      </c>
      <c r="H378" s="15">
        <v>3.5</v>
      </c>
      <c r="I378" s="18" t="s">
        <v>21</v>
      </c>
    </row>
    <row r="379" spans="1:9" ht="12.5">
      <c r="A379" s="16">
        <v>1094318</v>
      </c>
      <c r="B379" s="17" t="s">
        <v>864</v>
      </c>
      <c r="C379" s="17" t="s">
        <v>865</v>
      </c>
      <c r="D379" s="14" t="s">
        <v>1985</v>
      </c>
      <c r="E379" s="14" t="s">
        <v>1986</v>
      </c>
      <c r="F379" s="14" t="s">
        <v>1945</v>
      </c>
      <c r="G379" s="15">
        <v>4.68</v>
      </c>
      <c r="H379" s="15">
        <v>2.4</v>
      </c>
      <c r="I379" s="18" t="s">
        <v>21</v>
      </c>
    </row>
    <row r="380" spans="1:9" ht="12.5">
      <c r="A380" s="16">
        <v>2293259</v>
      </c>
      <c r="B380" s="17" t="s">
        <v>864</v>
      </c>
      <c r="C380" s="17" t="s">
        <v>865</v>
      </c>
      <c r="D380" s="14" t="s">
        <v>1987</v>
      </c>
      <c r="E380" s="14" t="s">
        <v>1988</v>
      </c>
      <c r="F380" s="14" t="s">
        <v>1989</v>
      </c>
      <c r="G380" s="15">
        <v>4.4400000000000004</v>
      </c>
      <c r="H380" s="15">
        <v>1.3</v>
      </c>
      <c r="I380" s="18" t="s">
        <v>17</v>
      </c>
    </row>
    <row r="381" spans="1:9" ht="12.5">
      <c r="A381" s="16">
        <v>630678</v>
      </c>
      <c r="B381" s="17" t="s">
        <v>864</v>
      </c>
      <c r="C381" s="17" t="s">
        <v>881</v>
      </c>
      <c r="D381" s="14" t="s">
        <v>1990</v>
      </c>
      <c r="E381" s="14" t="s">
        <v>1991</v>
      </c>
      <c r="F381" s="14" t="s">
        <v>1093</v>
      </c>
      <c r="G381" s="15">
        <v>4.49</v>
      </c>
      <c r="H381" s="15">
        <v>12.8</v>
      </c>
      <c r="I381" s="18" t="s">
        <v>17</v>
      </c>
    </row>
    <row r="382" spans="1:9" ht="12.5">
      <c r="A382" s="16">
        <v>1185852</v>
      </c>
      <c r="B382" s="14" t="s">
        <v>864</v>
      </c>
      <c r="C382" s="17" t="s">
        <v>1992</v>
      </c>
      <c r="D382" s="14" t="s">
        <v>1993</v>
      </c>
      <c r="E382" s="14" t="s">
        <v>1994</v>
      </c>
      <c r="F382" s="14" t="s">
        <v>1995</v>
      </c>
      <c r="G382" s="19">
        <v>4.09</v>
      </c>
      <c r="H382" s="15">
        <v>1</v>
      </c>
      <c r="I382" s="18" t="s">
        <v>17</v>
      </c>
    </row>
    <row r="383" spans="1:9" ht="12.5">
      <c r="A383" s="16">
        <v>988320</v>
      </c>
      <c r="B383" s="17" t="s">
        <v>864</v>
      </c>
      <c r="C383" s="17" t="s">
        <v>881</v>
      </c>
      <c r="D383" s="14" t="s">
        <v>1996</v>
      </c>
      <c r="E383" s="14" t="s">
        <v>1997</v>
      </c>
      <c r="F383" s="14" t="s">
        <v>1930</v>
      </c>
      <c r="G383" s="15">
        <v>4.4800000000000004</v>
      </c>
      <c r="H383" s="15">
        <v>22.2</v>
      </c>
      <c r="I383" s="18" t="s">
        <v>21</v>
      </c>
    </row>
    <row r="384" spans="1:9" ht="12.5">
      <c r="A384" s="14">
        <v>3652846</v>
      </c>
      <c r="B384" s="14" t="s">
        <v>864</v>
      </c>
      <c r="C384" s="14" t="s">
        <v>881</v>
      </c>
      <c r="D384" s="14" t="s">
        <v>1998</v>
      </c>
      <c r="E384" s="14" t="s">
        <v>1998</v>
      </c>
      <c r="F384" s="14" t="s">
        <v>1189</v>
      </c>
      <c r="G384" s="15">
        <v>4.5999999999999996</v>
      </c>
      <c r="H384" s="15">
        <v>35.9</v>
      </c>
      <c r="I384" s="14" t="s">
        <v>21</v>
      </c>
    </row>
    <row r="385" spans="1:9" ht="12.5">
      <c r="A385" s="16">
        <v>1597208</v>
      </c>
      <c r="B385" s="17" t="s">
        <v>864</v>
      </c>
      <c r="C385" s="17" t="s">
        <v>865</v>
      </c>
      <c r="D385" s="14" t="s">
        <v>1999</v>
      </c>
      <c r="E385" s="14" t="s">
        <v>2000</v>
      </c>
      <c r="F385" s="14" t="s">
        <v>1945</v>
      </c>
      <c r="G385" s="15">
        <v>4.47</v>
      </c>
      <c r="H385" s="15">
        <v>4.8</v>
      </c>
      <c r="I385" s="18" t="s">
        <v>21</v>
      </c>
    </row>
    <row r="386" spans="1:9" ht="12.5">
      <c r="A386" s="14">
        <v>2690856</v>
      </c>
      <c r="B386" s="14" t="s">
        <v>864</v>
      </c>
      <c r="C386" s="14" t="s">
        <v>905</v>
      </c>
      <c r="D386" s="14" t="s">
        <v>2001</v>
      </c>
      <c r="E386" s="14" t="s">
        <v>2002</v>
      </c>
      <c r="F386" s="14" t="s">
        <v>1972</v>
      </c>
      <c r="G386" s="15">
        <v>4.0999999999999996</v>
      </c>
      <c r="H386" s="15">
        <v>2.2000000000000002</v>
      </c>
      <c r="I386" s="14" t="s">
        <v>17</v>
      </c>
    </row>
    <row r="387" spans="1:9" ht="12.5">
      <c r="A387" s="14">
        <v>710638</v>
      </c>
      <c r="B387" s="14" t="s">
        <v>864</v>
      </c>
      <c r="C387" s="14" t="s">
        <v>865</v>
      </c>
      <c r="D387" s="14" t="s">
        <v>2003</v>
      </c>
      <c r="E387" s="14" t="s">
        <v>2004</v>
      </c>
      <c r="F387" s="14" t="s">
        <v>1093</v>
      </c>
      <c r="G387" s="19">
        <v>4.33</v>
      </c>
      <c r="H387" s="15">
        <v>3.4</v>
      </c>
      <c r="I387" s="14" t="s">
        <v>17</v>
      </c>
    </row>
    <row r="388" spans="1:9" ht="12.5">
      <c r="A388" s="16">
        <v>2549391</v>
      </c>
      <c r="B388" s="14" t="s">
        <v>864</v>
      </c>
      <c r="C388" s="17" t="s">
        <v>865</v>
      </c>
      <c r="D388" s="14" t="s">
        <v>2005</v>
      </c>
      <c r="E388" s="14" t="s">
        <v>2006</v>
      </c>
      <c r="F388" s="14" t="s">
        <v>2007</v>
      </c>
      <c r="G388" s="15">
        <v>4.7</v>
      </c>
      <c r="H388" s="15">
        <v>11.5</v>
      </c>
      <c r="I388" s="18" t="s">
        <v>17</v>
      </c>
    </row>
    <row r="389" spans="1:9" ht="12.5">
      <c r="A389" s="16">
        <v>1641204</v>
      </c>
      <c r="B389" s="17" t="s">
        <v>864</v>
      </c>
      <c r="C389" s="17" t="s">
        <v>1992</v>
      </c>
      <c r="D389" s="14" t="s">
        <v>2008</v>
      </c>
      <c r="E389" s="14" t="s">
        <v>2008</v>
      </c>
      <c r="F389" s="14" t="s">
        <v>1619</v>
      </c>
      <c r="G389" s="15">
        <v>4.7</v>
      </c>
      <c r="H389" s="15">
        <v>2.7</v>
      </c>
      <c r="I389" s="18" t="s">
        <v>21</v>
      </c>
    </row>
    <row r="390" spans="1:9" ht="12.5">
      <c r="A390" s="14">
        <v>1908046</v>
      </c>
      <c r="B390" s="14" t="s">
        <v>864</v>
      </c>
      <c r="C390" s="14" t="s">
        <v>865</v>
      </c>
      <c r="D390" s="14" t="s">
        <v>2009</v>
      </c>
      <c r="E390" s="14" t="s">
        <v>2009</v>
      </c>
      <c r="F390" s="14" t="s">
        <v>2010</v>
      </c>
      <c r="G390" s="15">
        <v>4.33</v>
      </c>
      <c r="H390" s="15">
        <v>5.2</v>
      </c>
      <c r="I390" s="18" t="s">
        <v>72</v>
      </c>
    </row>
    <row r="391" spans="1:9" ht="12.5">
      <c r="A391" s="14">
        <v>1102090</v>
      </c>
      <c r="B391" s="14" t="s">
        <v>864</v>
      </c>
      <c r="C391" s="14" t="s">
        <v>905</v>
      </c>
      <c r="D391" s="14" t="s">
        <v>2011</v>
      </c>
      <c r="E391" s="14" t="s">
        <v>2012</v>
      </c>
      <c r="F391" s="14" t="s">
        <v>2013</v>
      </c>
      <c r="G391" s="15">
        <v>2.73</v>
      </c>
      <c r="H391" s="15">
        <v>12.2</v>
      </c>
      <c r="I391" s="14" t="s">
        <v>21</v>
      </c>
    </row>
    <row r="392" spans="1:9" ht="12.5">
      <c r="A392" s="14">
        <v>1740282</v>
      </c>
      <c r="B392" s="14" t="s">
        <v>864</v>
      </c>
      <c r="C392" s="14" t="s">
        <v>865</v>
      </c>
      <c r="D392" s="14" t="s">
        <v>2014</v>
      </c>
      <c r="E392" s="14" t="s">
        <v>2015</v>
      </c>
      <c r="F392" s="14" t="s">
        <v>1093</v>
      </c>
      <c r="G392" s="15">
        <v>4.21</v>
      </c>
      <c r="H392" s="15">
        <v>3.2</v>
      </c>
      <c r="I392" s="14" t="s">
        <v>21</v>
      </c>
    </row>
    <row r="393" spans="1:9" ht="12.5">
      <c r="A393" s="16">
        <v>646270</v>
      </c>
      <c r="B393" s="17" t="s">
        <v>864</v>
      </c>
      <c r="C393" s="17" t="s">
        <v>899</v>
      </c>
      <c r="D393" s="14" t="s">
        <v>2016</v>
      </c>
      <c r="E393" s="14" t="s">
        <v>2017</v>
      </c>
      <c r="F393" s="14" t="s">
        <v>1093</v>
      </c>
      <c r="G393" s="15">
        <v>4.3600000000000003</v>
      </c>
      <c r="H393" s="15">
        <v>5.2</v>
      </c>
      <c r="I393" s="18" t="s">
        <v>21</v>
      </c>
    </row>
    <row r="394" spans="1:9" ht="12.5">
      <c r="A394" s="14">
        <v>1085478</v>
      </c>
      <c r="B394" s="14" t="s">
        <v>864</v>
      </c>
      <c r="C394" s="14" t="s">
        <v>875</v>
      </c>
      <c r="D394" s="14" t="s">
        <v>2018</v>
      </c>
      <c r="E394" s="14" t="s">
        <v>2019</v>
      </c>
      <c r="F394" s="14" t="s">
        <v>2020</v>
      </c>
      <c r="G394" s="15">
        <v>3.98</v>
      </c>
      <c r="H394" s="15">
        <v>4.8</v>
      </c>
      <c r="I394" s="14" t="s">
        <v>21</v>
      </c>
    </row>
    <row r="395" spans="1:9" ht="12.5">
      <c r="A395" s="16">
        <v>1256794</v>
      </c>
      <c r="B395" s="14" t="s">
        <v>864</v>
      </c>
      <c r="C395" s="17" t="s">
        <v>1992</v>
      </c>
      <c r="D395" s="14" t="s">
        <v>2021</v>
      </c>
      <c r="E395" s="14" t="s">
        <v>2022</v>
      </c>
      <c r="F395" s="14" t="s">
        <v>1639</v>
      </c>
      <c r="G395" s="15">
        <v>4.49</v>
      </c>
      <c r="H395" s="15">
        <v>1.6</v>
      </c>
      <c r="I395" s="18" t="s">
        <v>21</v>
      </c>
    </row>
    <row r="396" spans="1:9" ht="12.5">
      <c r="A396" s="16">
        <v>1555630</v>
      </c>
      <c r="B396" s="17" t="s">
        <v>864</v>
      </c>
      <c r="C396" s="17" t="s">
        <v>881</v>
      </c>
      <c r="D396" s="14" t="s">
        <v>2023</v>
      </c>
      <c r="E396" s="14" t="s">
        <v>2024</v>
      </c>
      <c r="F396" s="14" t="s">
        <v>1164</v>
      </c>
      <c r="G396" s="15">
        <v>4.37</v>
      </c>
      <c r="H396" s="15">
        <v>1.4</v>
      </c>
      <c r="I396" s="18" t="s">
        <v>72</v>
      </c>
    </row>
    <row r="397" spans="1:9" ht="12.5">
      <c r="A397" s="16">
        <v>1820282</v>
      </c>
      <c r="B397" s="17" t="s">
        <v>864</v>
      </c>
      <c r="C397" s="17" t="s">
        <v>865</v>
      </c>
      <c r="D397" s="14" t="s">
        <v>2025</v>
      </c>
      <c r="E397" s="14" t="s">
        <v>2026</v>
      </c>
      <c r="F397" s="14" t="s">
        <v>2027</v>
      </c>
      <c r="G397" s="15">
        <v>4.4800000000000004</v>
      </c>
      <c r="H397" s="15">
        <v>9.5</v>
      </c>
      <c r="I397" s="18" t="s">
        <v>21</v>
      </c>
    </row>
    <row r="398" spans="1:9" ht="12.5">
      <c r="A398" s="16">
        <v>1812896</v>
      </c>
      <c r="B398" s="14" t="s">
        <v>864</v>
      </c>
      <c r="C398" s="17" t="s">
        <v>881</v>
      </c>
      <c r="D398" s="14" t="s">
        <v>2028</v>
      </c>
      <c r="E398" s="14" t="s">
        <v>2029</v>
      </c>
      <c r="F398" s="14" t="s">
        <v>1967</v>
      </c>
      <c r="G398" s="15">
        <v>4.34</v>
      </c>
      <c r="H398" s="15">
        <v>2.2999999999999998</v>
      </c>
      <c r="I398" s="18" t="s">
        <v>21</v>
      </c>
    </row>
    <row r="399" spans="1:9" ht="12.5">
      <c r="A399" s="16">
        <v>998520</v>
      </c>
      <c r="B399" s="17" t="s">
        <v>864</v>
      </c>
      <c r="C399" s="17" t="s">
        <v>875</v>
      </c>
      <c r="D399" s="14" t="s">
        <v>2030</v>
      </c>
      <c r="E399" s="14" t="s">
        <v>2031</v>
      </c>
      <c r="F399" s="14" t="s">
        <v>2032</v>
      </c>
      <c r="G399" s="15">
        <v>4.7</v>
      </c>
      <c r="H399" s="15">
        <v>1.4</v>
      </c>
      <c r="I399" s="18" t="s">
        <v>17</v>
      </c>
    </row>
    <row r="400" spans="1:9" ht="12.5">
      <c r="A400" s="16">
        <v>715756</v>
      </c>
      <c r="B400" s="17" t="s">
        <v>864</v>
      </c>
      <c r="C400" s="17" t="s">
        <v>881</v>
      </c>
      <c r="D400" s="14" t="s">
        <v>2033</v>
      </c>
      <c r="E400" s="14" t="s">
        <v>2034</v>
      </c>
      <c r="F400" s="14" t="s">
        <v>2035</v>
      </c>
      <c r="G400" s="15">
        <v>4.49</v>
      </c>
      <c r="H400" s="15">
        <v>1.3</v>
      </c>
      <c r="I400" s="18" t="s">
        <v>21</v>
      </c>
    </row>
    <row r="401" spans="1:9" ht="12.5">
      <c r="A401" s="16">
        <v>555262</v>
      </c>
      <c r="B401" s="17" t="s">
        <v>864</v>
      </c>
      <c r="C401" s="17" t="s">
        <v>905</v>
      </c>
      <c r="D401" s="14" t="s">
        <v>2036</v>
      </c>
      <c r="E401" s="14" t="s">
        <v>2037</v>
      </c>
      <c r="F401" s="14" t="s">
        <v>2038</v>
      </c>
      <c r="G401" s="15">
        <v>3.87</v>
      </c>
      <c r="H401" s="15">
        <v>1.9</v>
      </c>
      <c r="I401" s="18" t="s">
        <v>17</v>
      </c>
    </row>
    <row r="402" spans="1:9" ht="12.5">
      <c r="A402" s="16">
        <v>1982014</v>
      </c>
      <c r="B402" s="17" t="s">
        <v>864</v>
      </c>
      <c r="C402" s="17" t="s">
        <v>1992</v>
      </c>
      <c r="D402" s="14" t="s">
        <v>2039</v>
      </c>
      <c r="E402" s="14" t="s">
        <v>2040</v>
      </c>
      <c r="F402" s="14" t="s">
        <v>2027</v>
      </c>
      <c r="G402" s="15">
        <v>4.3</v>
      </c>
      <c r="H402" s="15">
        <v>8.6</v>
      </c>
      <c r="I402" s="18" t="s">
        <v>21</v>
      </c>
    </row>
    <row r="403" spans="1:9" ht="12.5">
      <c r="A403" s="16">
        <v>2057605</v>
      </c>
      <c r="B403" s="17" t="s">
        <v>864</v>
      </c>
      <c r="C403" s="17" t="s">
        <v>1992</v>
      </c>
      <c r="D403" s="14" t="s">
        <v>2041</v>
      </c>
      <c r="E403" s="14" t="s">
        <v>2042</v>
      </c>
      <c r="F403" s="14" t="s">
        <v>1093</v>
      </c>
      <c r="G403" s="15">
        <v>4.83</v>
      </c>
      <c r="H403" s="15">
        <v>4.4000000000000004</v>
      </c>
      <c r="I403" s="18" t="s">
        <v>17</v>
      </c>
    </row>
    <row r="404" spans="1:9" ht="12.5">
      <c r="A404" s="16">
        <v>2508988</v>
      </c>
      <c r="B404" s="17" t="s">
        <v>864</v>
      </c>
      <c r="C404" s="17" t="s">
        <v>1992</v>
      </c>
      <c r="D404" s="14" t="s">
        <v>2043</v>
      </c>
      <c r="E404" s="14" t="s">
        <v>2044</v>
      </c>
      <c r="F404" s="14" t="s">
        <v>1619</v>
      </c>
      <c r="G404" s="15">
        <v>4.7</v>
      </c>
      <c r="H404" s="15">
        <v>2.2999999999999998</v>
      </c>
      <c r="I404" s="18" t="s">
        <v>72</v>
      </c>
    </row>
    <row r="405" spans="1:9" ht="12.5">
      <c r="A405" s="16">
        <v>895066</v>
      </c>
      <c r="B405" s="17" t="s">
        <v>913</v>
      </c>
      <c r="C405" s="17" t="s">
        <v>920</v>
      </c>
      <c r="D405" s="14" t="s">
        <v>2045</v>
      </c>
      <c r="E405" s="14" t="s">
        <v>2046</v>
      </c>
      <c r="F405" s="14" t="s">
        <v>1716</v>
      </c>
      <c r="G405" s="15">
        <v>4.59</v>
      </c>
      <c r="H405" s="15">
        <v>2.7</v>
      </c>
      <c r="I405" s="18" t="s">
        <v>21</v>
      </c>
    </row>
    <row r="406" spans="1:9" ht="12.5">
      <c r="A406" s="16">
        <v>1007244</v>
      </c>
      <c r="B406" s="17" t="s">
        <v>913</v>
      </c>
      <c r="C406" s="17" t="s">
        <v>920</v>
      </c>
      <c r="D406" s="14" t="s">
        <v>2047</v>
      </c>
      <c r="E406" s="14" t="s">
        <v>2048</v>
      </c>
      <c r="F406" s="14" t="s">
        <v>1716</v>
      </c>
      <c r="G406" s="15">
        <v>4.49</v>
      </c>
      <c r="H406" s="15">
        <v>3.1</v>
      </c>
      <c r="I406" s="18" t="s">
        <v>21</v>
      </c>
    </row>
    <row r="407" spans="1:9" ht="12.5">
      <c r="A407" s="16">
        <v>1287782</v>
      </c>
      <c r="B407" s="17" t="s">
        <v>913</v>
      </c>
      <c r="C407" s="17" t="s">
        <v>920</v>
      </c>
      <c r="D407" s="14" t="s">
        <v>2049</v>
      </c>
      <c r="E407" s="14" t="s">
        <v>2050</v>
      </c>
      <c r="F407" s="14" t="s">
        <v>1713</v>
      </c>
      <c r="G407" s="15">
        <v>4.6399999999999997</v>
      </c>
      <c r="H407" s="15">
        <v>2</v>
      </c>
      <c r="I407" s="18" t="s">
        <v>21</v>
      </c>
    </row>
    <row r="408" spans="1:9" ht="12.5">
      <c r="A408" s="16">
        <v>976538</v>
      </c>
      <c r="B408" s="17" t="s">
        <v>913</v>
      </c>
      <c r="C408" s="17" t="s">
        <v>920</v>
      </c>
      <c r="D408" s="14" t="s">
        <v>2051</v>
      </c>
      <c r="E408" s="14" t="s">
        <v>2052</v>
      </c>
      <c r="F408" s="14" t="s">
        <v>1716</v>
      </c>
      <c r="G408" s="15">
        <v>4.57</v>
      </c>
      <c r="H408" s="15">
        <v>2</v>
      </c>
      <c r="I408" s="18" t="s">
        <v>21</v>
      </c>
    </row>
    <row r="409" spans="1:9" ht="12.5">
      <c r="A409" s="14">
        <v>1698012</v>
      </c>
      <c r="B409" s="14" t="s">
        <v>913</v>
      </c>
      <c r="C409" s="14" t="s">
        <v>914</v>
      </c>
      <c r="D409" s="14" t="s">
        <v>2053</v>
      </c>
      <c r="E409" s="14" t="s">
        <v>2054</v>
      </c>
      <c r="F409" s="14" t="s">
        <v>2055</v>
      </c>
      <c r="G409" s="15">
        <v>4.37</v>
      </c>
      <c r="H409" s="15">
        <v>3.8</v>
      </c>
      <c r="I409" s="14" t="s">
        <v>17</v>
      </c>
    </row>
    <row r="410" spans="1:9" ht="12.5">
      <c r="A410" s="16">
        <v>748718</v>
      </c>
      <c r="B410" s="17" t="s">
        <v>913</v>
      </c>
      <c r="C410" s="17" t="s">
        <v>920</v>
      </c>
      <c r="D410" s="14" t="s">
        <v>2056</v>
      </c>
      <c r="E410" s="14" t="s">
        <v>2057</v>
      </c>
      <c r="F410" s="14" t="s">
        <v>2058</v>
      </c>
      <c r="G410" s="15">
        <v>4.4800000000000004</v>
      </c>
      <c r="H410" s="15">
        <v>3.2</v>
      </c>
      <c r="I410" s="18" t="s">
        <v>21</v>
      </c>
    </row>
    <row r="411" spans="1:9" ht="12.5">
      <c r="A411" s="16">
        <v>2733610</v>
      </c>
      <c r="B411" s="17" t="s">
        <v>913</v>
      </c>
      <c r="C411" s="17" t="s">
        <v>920</v>
      </c>
      <c r="D411" s="14" t="s">
        <v>2059</v>
      </c>
      <c r="E411" s="14" t="s">
        <v>2060</v>
      </c>
      <c r="F411" s="14" t="s">
        <v>2061</v>
      </c>
      <c r="G411" s="15">
        <v>4.76</v>
      </c>
      <c r="H411" s="15">
        <v>2.4</v>
      </c>
      <c r="I411" s="18" t="s">
        <v>21</v>
      </c>
    </row>
    <row r="412" spans="1:9" ht="12.5">
      <c r="A412" s="16">
        <v>1438136</v>
      </c>
      <c r="B412" s="17" t="s">
        <v>913</v>
      </c>
      <c r="C412" s="17" t="s">
        <v>920</v>
      </c>
      <c r="D412" s="14" t="s">
        <v>2062</v>
      </c>
      <c r="E412" s="14" t="s">
        <v>2063</v>
      </c>
      <c r="F412" s="14" t="s">
        <v>1716</v>
      </c>
      <c r="G412" s="15">
        <v>4.57</v>
      </c>
      <c r="H412" s="15">
        <v>2.8</v>
      </c>
      <c r="I412" s="18" t="s">
        <v>21</v>
      </c>
    </row>
    <row r="413" spans="1:9" ht="12.5">
      <c r="A413" s="16">
        <v>3169392</v>
      </c>
      <c r="B413" s="14" t="s">
        <v>913</v>
      </c>
      <c r="C413" s="17" t="s">
        <v>914</v>
      </c>
      <c r="D413" s="14" t="s">
        <v>2064</v>
      </c>
      <c r="E413" s="14" t="s">
        <v>2065</v>
      </c>
      <c r="F413" s="14" t="s">
        <v>2066</v>
      </c>
      <c r="G413" s="15">
        <v>4.7699999999999996</v>
      </c>
      <c r="H413" s="15">
        <v>5.9</v>
      </c>
      <c r="I413" s="18" t="s">
        <v>72</v>
      </c>
    </row>
    <row r="414" spans="1:9" ht="12.5">
      <c r="A414" s="16">
        <v>2715780</v>
      </c>
      <c r="B414" s="17" t="s">
        <v>913</v>
      </c>
      <c r="C414" s="17" t="s">
        <v>914</v>
      </c>
      <c r="D414" s="14" t="s">
        <v>2067</v>
      </c>
      <c r="E414" s="14" t="s">
        <v>2068</v>
      </c>
      <c r="F414" s="14" t="s">
        <v>2066</v>
      </c>
      <c r="G414" s="15">
        <v>4.58</v>
      </c>
      <c r="H414" s="15">
        <v>6.6</v>
      </c>
      <c r="I414" s="18" t="s">
        <v>17</v>
      </c>
    </row>
    <row r="415" spans="1:9" ht="12.5">
      <c r="A415" s="16">
        <v>2384036</v>
      </c>
      <c r="B415" s="17" t="s">
        <v>913</v>
      </c>
      <c r="C415" s="17" t="s">
        <v>920</v>
      </c>
      <c r="D415" s="14" t="s">
        <v>2069</v>
      </c>
      <c r="E415" s="14" t="s">
        <v>2070</v>
      </c>
      <c r="F415" s="14" t="s">
        <v>1716</v>
      </c>
      <c r="G415" s="15">
        <v>4.6500000000000004</v>
      </c>
      <c r="H415" s="15">
        <v>2.2999999999999998</v>
      </c>
      <c r="I415" s="18" t="s">
        <v>21</v>
      </c>
    </row>
    <row r="416" spans="1:9" ht="12.5">
      <c r="A416" s="16">
        <v>774082</v>
      </c>
      <c r="B416" s="17" t="s">
        <v>913</v>
      </c>
      <c r="C416" s="17" t="s">
        <v>970</v>
      </c>
      <c r="D416" s="14" t="s">
        <v>2071</v>
      </c>
      <c r="E416" s="14" t="s">
        <v>2072</v>
      </c>
      <c r="F416" s="14" t="s">
        <v>2073</v>
      </c>
      <c r="G416" s="15">
        <v>4.5199999999999996</v>
      </c>
      <c r="H416" s="15">
        <v>8.1999999999999993</v>
      </c>
      <c r="I416" s="18" t="s">
        <v>21</v>
      </c>
    </row>
    <row r="417" spans="1:9" ht="12.5">
      <c r="A417" s="16">
        <v>2286561</v>
      </c>
      <c r="B417" s="14" t="s">
        <v>913</v>
      </c>
      <c r="C417" s="14" t="s">
        <v>935</v>
      </c>
      <c r="D417" s="14" t="s">
        <v>2074</v>
      </c>
      <c r="E417" s="14" t="s">
        <v>2075</v>
      </c>
      <c r="F417" s="14" t="s">
        <v>1728</v>
      </c>
      <c r="G417" s="15">
        <v>4.24</v>
      </c>
      <c r="H417" s="15">
        <v>4.0999999999999996</v>
      </c>
      <c r="I417" s="18" t="s">
        <v>17</v>
      </c>
    </row>
    <row r="418" spans="1:9" ht="12.5">
      <c r="A418" s="16">
        <v>1964458</v>
      </c>
      <c r="B418" s="17" t="s">
        <v>913</v>
      </c>
      <c r="C418" s="17" t="s">
        <v>914</v>
      </c>
      <c r="D418" s="14" t="s">
        <v>2076</v>
      </c>
      <c r="E418" s="14" t="s">
        <v>2077</v>
      </c>
      <c r="F418" s="14" t="s">
        <v>955</v>
      </c>
      <c r="G418" s="15">
        <v>4.6500000000000004</v>
      </c>
      <c r="H418" s="15">
        <v>15.4</v>
      </c>
      <c r="I418" s="18" t="s">
        <v>21</v>
      </c>
    </row>
    <row r="419" spans="1:9" ht="12.5">
      <c r="A419" s="14">
        <v>1284974</v>
      </c>
      <c r="B419" s="14" t="s">
        <v>913</v>
      </c>
      <c r="C419" s="14" t="s">
        <v>920</v>
      </c>
      <c r="D419" s="14" t="s">
        <v>2078</v>
      </c>
      <c r="E419" s="14" t="s">
        <v>2079</v>
      </c>
      <c r="F419" s="14" t="s">
        <v>1716</v>
      </c>
      <c r="G419" s="15">
        <v>4.3</v>
      </c>
      <c r="H419" s="15">
        <v>4</v>
      </c>
      <c r="I419" s="14" t="s">
        <v>21</v>
      </c>
    </row>
    <row r="420" spans="1:9" ht="12.5">
      <c r="A420" s="16">
        <v>1579908</v>
      </c>
      <c r="B420" s="14" t="s">
        <v>913</v>
      </c>
      <c r="C420" s="17" t="s">
        <v>935</v>
      </c>
      <c r="D420" s="14" t="s">
        <v>2080</v>
      </c>
      <c r="E420" s="14" t="s">
        <v>2081</v>
      </c>
      <c r="F420" s="14" t="s">
        <v>2082</v>
      </c>
      <c r="G420" s="15">
        <v>4.3600000000000003</v>
      </c>
      <c r="H420" s="15">
        <v>5.8</v>
      </c>
      <c r="I420" s="18" t="s">
        <v>21</v>
      </c>
    </row>
    <row r="421" spans="1:9" ht="12.5">
      <c r="A421" s="16">
        <v>2447368</v>
      </c>
      <c r="B421" s="14" t="s">
        <v>913</v>
      </c>
      <c r="C421" s="17" t="s">
        <v>920</v>
      </c>
      <c r="D421" s="14" t="s">
        <v>2083</v>
      </c>
      <c r="E421" s="14" t="s">
        <v>2084</v>
      </c>
      <c r="F421" s="14" t="s">
        <v>2061</v>
      </c>
      <c r="G421" s="15">
        <v>4.62</v>
      </c>
      <c r="H421" s="15">
        <v>2.7</v>
      </c>
      <c r="I421" s="18" t="s">
        <v>21</v>
      </c>
    </row>
    <row r="422" spans="1:9" ht="12.5">
      <c r="A422" s="16">
        <v>1886104</v>
      </c>
      <c r="B422" s="17" t="s">
        <v>913</v>
      </c>
      <c r="C422" s="17" t="s">
        <v>946</v>
      </c>
      <c r="D422" s="14" t="s">
        <v>2085</v>
      </c>
      <c r="E422" s="14" t="s">
        <v>2086</v>
      </c>
      <c r="F422" s="14" t="s">
        <v>1776</v>
      </c>
      <c r="G422" s="15">
        <v>4.7300000000000004</v>
      </c>
      <c r="H422" s="15">
        <v>14.5</v>
      </c>
      <c r="I422" s="18" t="s">
        <v>21</v>
      </c>
    </row>
    <row r="423" spans="1:9" ht="12.5">
      <c r="A423" s="16">
        <v>1322700</v>
      </c>
      <c r="B423" s="14" t="s">
        <v>913</v>
      </c>
      <c r="C423" s="17" t="s">
        <v>920</v>
      </c>
      <c r="D423" s="14" t="s">
        <v>2087</v>
      </c>
      <c r="E423" s="14" t="s">
        <v>2087</v>
      </c>
      <c r="F423" s="14" t="s">
        <v>65</v>
      </c>
      <c r="G423" s="15">
        <v>4.58</v>
      </c>
      <c r="H423" s="15">
        <v>29.7</v>
      </c>
      <c r="I423" s="18" t="s">
        <v>17</v>
      </c>
    </row>
    <row r="424" spans="1:9" ht="12.5">
      <c r="A424" s="16">
        <v>1384368</v>
      </c>
      <c r="B424" s="17" t="s">
        <v>913</v>
      </c>
      <c r="C424" s="17" t="s">
        <v>920</v>
      </c>
      <c r="D424" s="14" t="s">
        <v>2088</v>
      </c>
      <c r="E424" s="14" t="s">
        <v>2089</v>
      </c>
      <c r="F424" s="14" t="s">
        <v>1776</v>
      </c>
      <c r="G424" s="15">
        <v>4.68</v>
      </c>
      <c r="H424" s="15">
        <v>2.2999999999999998</v>
      </c>
      <c r="I424" s="18" t="s">
        <v>21</v>
      </c>
    </row>
    <row r="425" spans="1:9" ht="12.5">
      <c r="A425" s="16">
        <v>1872870</v>
      </c>
      <c r="B425" s="14" t="s">
        <v>913</v>
      </c>
      <c r="C425" s="17" t="s">
        <v>920</v>
      </c>
      <c r="D425" s="14" t="s">
        <v>2090</v>
      </c>
      <c r="E425" s="14" t="s">
        <v>2091</v>
      </c>
      <c r="F425" s="14" t="s">
        <v>2092</v>
      </c>
      <c r="G425" s="15">
        <v>4.6100000000000003</v>
      </c>
      <c r="H425" s="15">
        <v>3</v>
      </c>
      <c r="I425" s="18" t="s">
        <v>21</v>
      </c>
    </row>
    <row r="426" spans="1:9" ht="12.5">
      <c r="A426" s="14">
        <v>1309718</v>
      </c>
      <c r="B426" s="14" t="s">
        <v>913</v>
      </c>
      <c r="C426" s="14" t="s">
        <v>920</v>
      </c>
      <c r="D426" s="14" t="s">
        <v>2093</v>
      </c>
      <c r="E426" s="14" t="s">
        <v>2094</v>
      </c>
      <c r="F426" s="14" t="s">
        <v>1776</v>
      </c>
      <c r="G426" s="15">
        <v>4.75</v>
      </c>
      <c r="H426" s="15">
        <v>1.8</v>
      </c>
      <c r="I426" s="14" t="s">
        <v>21</v>
      </c>
    </row>
    <row r="427" spans="1:9" ht="12.5">
      <c r="A427" s="16">
        <v>765138</v>
      </c>
      <c r="B427" s="17" t="s">
        <v>913</v>
      </c>
      <c r="C427" s="17" t="s">
        <v>920</v>
      </c>
      <c r="D427" s="14" t="s">
        <v>2095</v>
      </c>
      <c r="E427" s="14" t="s">
        <v>2096</v>
      </c>
      <c r="F427" s="14" t="s">
        <v>2097</v>
      </c>
      <c r="G427" s="15">
        <v>4.75</v>
      </c>
      <c r="H427" s="15">
        <v>1</v>
      </c>
      <c r="I427" s="18" t="s">
        <v>21</v>
      </c>
    </row>
    <row r="428" spans="1:9" ht="12.5">
      <c r="A428" s="14">
        <v>1841008</v>
      </c>
      <c r="B428" s="14" t="s">
        <v>913</v>
      </c>
      <c r="C428" s="14" t="s">
        <v>920</v>
      </c>
      <c r="D428" s="14" t="s">
        <v>2098</v>
      </c>
      <c r="E428" s="14" t="s">
        <v>2099</v>
      </c>
      <c r="F428" s="14" t="s">
        <v>2061</v>
      </c>
      <c r="G428" s="15">
        <v>4.78</v>
      </c>
      <c r="H428" s="15">
        <v>2</v>
      </c>
      <c r="I428" s="14" t="s">
        <v>21</v>
      </c>
    </row>
    <row r="429" spans="1:9" ht="12.5">
      <c r="A429" s="14">
        <v>2658782</v>
      </c>
      <c r="B429" s="14" t="s">
        <v>913</v>
      </c>
      <c r="C429" s="14" t="s">
        <v>920</v>
      </c>
      <c r="D429" s="17" t="s">
        <v>2100</v>
      </c>
      <c r="E429" s="14" t="s">
        <v>2101</v>
      </c>
      <c r="F429" s="14" t="s">
        <v>1776</v>
      </c>
      <c r="G429" s="15">
        <v>4.33</v>
      </c>
      <c r="H429" s="15">
        <v>2.8</v>
      </c>
      <c r="I429" s="14" t="s">
        <v>21</v>
      </c>
    </row>
    <row r="430" spans="1:9" ht="12.5">
      <c r="A430" s="14">
        <v>1225034</v>
      </c>
      <c r="B430" s="14" t="s">
        <v>913</v>
      </c>
      <c r="C430" s="14" t="s">
        <v>920</v>
      </c>
      <c r="D430" s="14" t="s">
        <v>2102</v>
      </c>
      <c r="E430" s="14" t="s">
        <v>2103</v>
      </c>
      <c r="F430" s="14" t="s">
        <v>2104</v>
      </c>
      <c r="G430" s="15">
        <v>4.34</v>
      </c>
      <c r="H430" s="15">
        <v>2.2000000000000002</v>
      </c>
      <c r="I430" s="14" t="s">
        <v>21</v>
      </c>
    </row>
    <row r="431" spans="1:9" ht="12.5">
      <c r="A431" s="16">
        <v>1807614</v>
      </c>
      <c r="B431" s="17" t="s">
        <v>913</v>
      </c>
      <c r="C431" s="17" t="s">
        <v>920</v>
      </c>
      <c r="D431" s="17" t="s">
        <v>2105</v>
      </c>
      <c r="E431" s="14" t="s">
        <v>2106</v>
      </c>
      <c r="F431" s="14" t="s">
        <v>1716</v>
      </c>
      <c r="G431" s="15">
        <v>4.5</v>
      </c>
      <c r="H431" s="15">
        <v>2.9</v>
      </c>
      <c r="I431" s="18" t="s">
        <v>21</v>
      </c>
    </row>
    <row r="432" spans="1:9" ht="12.5">
      <c r="A432" s="16">
        <v>782434</v>
      </c>
      <c r="B432" s="14" t="s">
        <v>913</v>
      </c>
      <c r="C432" s="17" t="s">
        <v>920</v>
      </c>
      <c r="D432" s="14" t="s">
        <v>2107</v>
      </c>
      <c r="E432" s="14" t="s">
        <v>2108</v>
      </c>
      <c r="F432" s="14" t="s">
        <v>2109</v>
      </c>
      <c r="G432" s="15">
        <v>3.92</v>
      </c>
      <c r="H432" s="15">
        <v>0.6</v>
      </c>
      <c r="I432" s="18" t="s">
        <v>72</v>
      </c>
    </row>
    <row r="433" spans="1:9" ht="12.5">
      <c r="A433" s="14">
        <v>1012070</v>
      </c>
      <c r="B433" s="14" t="s">
        <v>913</v>
      </c>
      <c r="C433" s="14" t="s">
        <v>920</v>
      </c>
      <c r="D433" s="14" t="s">
        <v>2110</v>
      </c>
      <c r="E433" s="14" t="s">
        <v>2111</v>
      </c>
      <c r="F433" s="14" t="s">
        <v>2112</v>
      </c>
      <c r="G433" s="15">
        <v>4.41</v>
      </c>
      <c r="H433" s="15">
        <v>3.4</v>
      </c>
      <c r="I433" s="14" t="s">
        <v>17</v>
      </c>
    </row>
    <row r="434" spans="1:9" ht="12.5">
      <c r="A434" s="16">
        <v>639240</v>
      </c>
      <c r="B434" s="14" t="s">
        <v>913</v>
      </c>
      <c r="C434" s="17" t="s">
        <v>970</v>
      </c>
      <c r="D434" s="14" t="s">
        <v>2113</v>
      </c>
      <c r="E434" s="14" t="s">
        <v>2114</v>
      </c>
      <c r="F434" s="14" t="s">
        <v>2115</v>
      </c>
      <c r="G434" s="15">
        <v>4.55</v>
      </c>
      <c r="H434" s="15">
        <v>2.2999999999999998</v>
      </c>
      <c r="I434" s="18" t="s">
        <v>21</v>
      </c>
    </row>
    <row r="435" spans="1:9" ht="12.5">
      <c r="A435" s="16">
        <v>2312388</v>
      </c>
      <c r="B435" s="17" t="s">
        <v>913</v>
      </c>
      <c r="C435" s="17" t="s">
        <v>920</v>
      </c>
      <c r="D435" s="14" t="s">
        <v>2116</v>
      </c>
      <c r="E435" s="14" t="s">
        <v>2117</v>
      </c>
      <c r="F435" s="14" t="s">
        <v>1743</v>
      </c>
      <c r="G435" s="15">
        <v>4.6900000000000004</v>
      </c>
      <c r="H435" s="15">
        <v>0.7</v>
      </c>
      <c r="I435" s="18" t="s">
        <v>21</v>
      </c>
    </row>
    <row r="436" spans="1:9" ht="12.5">
      <c r="A436" s="16">
        <v>1156302</v>
      </c>
      <c r="B436" s="17" t="s">
        <v>913</v>
      </c>
      <c r="C436" s="17" t="s">
        <v>920</v>
      </c>
      <c r="D436" s="14" t="s">
        <v>2118</v>
      </c>
      <c r="E436" s="14" t="s">
        <v>2119</v>
      </c>
      <c r="F436" s="14" t="s">
        <v>2120</v>
      </c>
      <c r="G436" s="15">
        <v>4.3600000000000003</v>
      </c>
      <c r="H436" s="15">
        <v>1.1000000000000001</v>
      </c>
      <c r="I436" s="18" t="s">
        <v>21</v>
      </c>
    </row>
    <row r="437" spans="1:9" ht="12.5">
      <c r="A437" s="16">
        <v>2182570</v>
      </c>
      <c r="B437" s="17" t="s">
        <v>913</v>
      </c>
      <c r="C437" s="17" t="s">
        <v>920</v>
      </c>
      <c r="D437" s="14" t="s">
        <v>2121</v>
      </c>
      <c r="E437" s="14" t="s">
        <v>2122</v>
      </c>
      <c r="F437" s="14" t="s">
        <v>2123</v>
      </c>
      <c r="G437" s="15">
        <v>3.47</v>
      </c>
      <c r="H437" s="15">
        <v>2</v>
      </c>
      <c r="I437" s="18" t="s">
        <v>21</v>
      </c>
    </row>
    <row r="438" spans="1:9" ht="12.5">
      <c r="A438" s="16">
        <v>2102888</v>
      </c>
      <c r="B438" s="17" t="s">
        <v>913</v>
      </c>
      <c r="C438" s="17" t="s">
        <v>920</v>
      </c>
      <c r="D438" s="14" t="s">
        <v>2124</v>
      </c>
      <c r="E438" s="14" t="s">
        <v>2125</v>
      </c>
      <c r="F438" s="14" t="s">
        <v>2126</v>
      </c>
      <c r="G438" s="15">
        <v>4.3899999999999997</v>
      </c>
      <c r="H438" s="15">
        <v>4.3</v>
      </c>
      <c r="I438" s="18" t="s">
        <v>72</v>
      </c>
    </row>
    <row r="439" spans="1:9" ht="12.5">
      <c r="A439" s="16">
        <v>1799666</v>
      </c>
      <c r="B439" s="14" t="s">
        <v>913</v>
      </c>
      <c r="C439" s="17" t="s">
        <v>970</v>
      </c>
      <c r="D439" s="14" t="s">
        <v>2127</v>
      </c>
      <c r="E439" s="14" t="s">
        <v>2127</v>
      </c>
      <c r="F439" s="14" t="s">
        <v>2128</v>
      </c>
      <c r="G439" s="15">
        <v>4.33</v>
      </c>
      <c r="H439" s="15">
        <v>7.4</v>
      </c>
      <c r="I439" s="18" t="s">
        <v>17</v>
      </c>
    </row>
    <row r="440" spans="1:9" ht="12.5">
      <c r="A440" s="16">
        <v>3068162</v>
      </c>
      <c r="B440" s="17" t="s">
        <v>913</v>
      </c>
      <c r="C440" s="17" t="s">
        <v>920</v>
      </c>
      <c r="D440" s="14" t="s">
        <v>2129</v>
      </c>
      <c r="E440" s="14" t="s">
        <v>2130</v>
      </c>
      <c r="F440" s="14" t="s">
        <v>1716</v>
      </c>
      <c r="G440" s="15">
        <v>4.51</v>
      </c>
      <c r="H440" s="15">
        <v>2.1</v>
      </c>
      <c r="I440" s="18" t="s">
        <v>21</v>
      </c>
    </row>
    <row r="441" spans="1:9" ht="12.5">
      <c r="A441" s="16">
        <v>778682</v>
      </c>
      <c r="B441" s="17" t="s">
        <v>913</v>
      </c>
      <c r="C441" s="17" t="s">
        <v>970</v>
      </c>
      <c r="D441" s="14" t="s">
        <v>2131</v>
      </c>
      <c r="E441" s="14" t="s">
        <v>2132</v>
      </c>
      <c r="F441" s="14" t="s">
        <v>2133</v>
      </c>
      <c r="G441" s="15">
        <v>4.2699999999999996</v>
      </c>
      <c r="H441" s="15">
        <v>2.2000000000000002</v>
      </c>
      <c r="I441" s="18" t="s">
        <v>17</v>
      </c>
    </row>
    <row r="442" spans="1:9" ht="12.5">
      <c r="A442" s="16">
        <v>1670818</v>
      </c>
      <c r="B442" s="14" t="s">
        <v>913</v>
      </c>
      <c r="C442" s="17" t="s">
        <v>914</v>
      </c>
      <c r="D442" s="14" t="s">
        <v>2134</v>
      </c>
      <c r="E442" s="14" t="s">
        <v>2135</v>
      </c>
      <c r="F442" s="14" t="s">
        <v>1802</v>
      </c>
      <c r="G442" s="15">
        <v>4.58</v>
      </c>
      <c r="H442" s="15">
        <v>1.1000000000000001</v>
      </c>
      <c r="I442" s="18" t="s">
        <v>17</v>
      </c>
    </row>
    <row r="443" spans="1:9" ht="12.5">
      <c r="A443" s="14">
        <v>857368</v>
      </c>
      <c r="B443" s="14" t="s">
        <v>913</v>
      </c>
      <c r="C443" s="14" t="s">
        <v>920</v>
      </c>
      <c r="D443" s="14" t="s">
        <v>2136</v>
      </c>
      <c r="E443" s="14" t="s">
        <v>2137</v>
      </c>
      <c r="F443" s="14" t="s">
        <v>2058</v>
      </c>
      <c r="G443" s="15">
        <v>4.28</v>
      </c>
      <c r="H443" s="15">
        <v>2.5</v>
      </c>
      <c r="I443" s="14" t="s">
        <v>21</v>
      </c>
    </row>
    <row r="444" spans="1:9" ht="12.5">
      <c r="A444" s="16">
        <v>1280880</v>
      </c>
      <c r="B444" s="17" t="s">
        <v>913</v>
      </c>
      <c r="C444" s="17" t="s">
        <v>970</v>
      </c>
      <c r="D444" s="14" t="s">
        <v>2138</v>
      </c>
      <c r="E444" s="14" t="s">
        <v>2139</v>
      </c>
      <c r="F444" s="14" t="s">
        <v>1186</v>
      </c>
      <c r="G444" s="15">
        <v>4.0999999999999996</v>
      </c>
      <c r="H444" s="15">
        <v>2.2999999999999998</v>
      </c>
      <c r="I444" s="18" t="s">
        <v>17</v>
      </c>
    </row>
    <row r="445" spans="1:9" ht="12.5">
      <c r="A445" s="16">
        <v>688978</v>
      </c>
      <c r="B445" s="14" t="s">
        <v>913</v>
      </c>
      <c r="C445" s="17" t="s">
        <v>920</v>
      </c>
      <c r="D445" s="14" t="s">
        <v>2140</v>
      </c>
      <c r="E445" s="14" t="s">
        <v>2141</v>
      </c>
      <c r="F445" s="14" t="s">
        <v>2142</v>
      </c>
      <c r="G445" s="15">
        <v>4.68</v>
      </c>
      <c r="H445" s="15">
        <v>1.2</v>
      </c>
      <c r="I445" s="18" t="s">
        <v>21</v>
      </c>
    </row>
    <row r="446" spans="1:9" ht="12.5">
      <c r="A446" s="16">
        <v>2516212</v>
      </c>
      <c r="B446" s="14" t="s">
        <v>913</v>
      </c>
      <c r="C446" s="17" t="s">
        <v>920</v>
      </c>
      <c r="D446" s="14" t="s">
        <v>2143</v>
      </c>
      <c r="E446" s="14" t="s">
        <v>2144</v>
      </c>
      <c r="F446" s="14" t="s">
        <v>1716</v>
      </c>
      <c r="G446" s="15">
        <v>4.55</v>
      </c>
      <c r="H446" s="15">
        <v>2.4</v>
      </c>
      <c r="I446" s="18" t="s">
        <v>21</v>
      </c>
    </row>
    <row r="447" spans="1:9" ht="12.5">
      <c r="A447" s="16">
        <v>1344722</v>
      </c>
      <c r="B447" s="17" t="s">
        <v>913</v>
      </c>
      <c r="C447" s="17" t="s">
        <v>914</v>
      </c>
      <c r="D447" s="14" t="s">
        <v>2145</v>
      </c>
      <c r="E447" s="14" t="s">
        <v>2146</v>
      </c>
      <c r="F447" s="14" t="s">
        <v>2147</v>
      </c>
      <c r="G447" s="15">
        <v>4.6399999999999997</v>
      </c>
      <c r="H447" s="15">
        <v>4.5</v>
      </c>
      <c r="I447" s="18" t="s">
        <v>17</v>
      </c>
    </row>
    <row r="448" spans="1:9" ht="12.5">
      <c r="A448" s="14">
        <v>2168110</v>
      </c>
      <c r="B448" s="14" t="s">
        <v>913</v>
      </c>
      <c r="C448" s="14" t="s">
        <v>920</v>
      </c>
      <c r="D448" s="14" t="s">
        <v>2148</v>
      </c>
      <c r="E448" s="14" t="s">
        <v>2149</v>
      </c>
      <c r="F448" s="14" t="s">
        <v>1728</v>
      </c>
      <c r="G448" s="15">
        <v>4.5</v>
      </c>
      <c r="H448" s="15">
        <v>2.4</v>
      </c>
      <c r="I448" s="14" t="s">
        <v>17</v>
      </c>
    </row>
    <row r="449" spans="1:9" ht="12.5">
      <c r="A449" s="16">
        <v>530940</v>
      </c>
      <c r="B449" s="14" t="s">
        <v>913</v>
      </c>
      <c r="C449" s="17" t="s">
        <v>920</v>
      </c>
      <c r="D449" s="14" t="s">
        <v>2150</v>
      </c>
      <c r="E449" s="14" t="s">
        <v>2151</v>
      </c>
      <c r="F449" s="14" t="s">
        <v>1817</v>
      </c>
      <c r="G449" s="15">
        <v>3.91</v>
      </c>
      <c r="H449" s="15">
        <v>2.2000000000000002</v>
      </c>
      <c r="I449" s="18" t="s">
        <v>21</v>
      </c>
    </row>
    <row r="450" spans="1:9" ht="12.5">
      <c r="A450" s="16">
        <v>673142</v>
      </c>
      <c r="B450" s="17" t="s">
        <v>913</v>
      </c>
      <c r="C450" s="17" t="s">
        <v>970</v>
      </c>
      <c r="D450" s="14" t="s">
        <v>2152</v>
      </c>
      <c r="E450" s="14" t="s">
        <v>2153</v>
      </c>
      <c r="F450" s="14" t="s">
        <v>2073</v>
      </c>
      <c r="G450" s="15">
        <v>4.53</v>
      </c>
      <c r="H450" s="15">
        <v>5</v>
      </c>
      <c r="I450" s="18" t="s">
        <v>21</v>
      </c>
    </row>
    <row r="451" spans="1:9" ht="12.5">
      <c r="A451" s="16">
        <v>2760158</v>
      </c>
      <c r="B451" s="17" t="s">
        <v>913</v>
      </c>
      <c r="C451" s="17" t="s">
        <v>914</v>
      </c>
      <c r="D451" s="14" t="s">
        <v>2154</v>
      </c>
      <c r="E451" s="14" t="s">
        <v>2155</v>
      </c>
      <c r="F451" s="14" t="s">
        <v>1802</v>
      </c>
      <c r="G451" s="15">
        <v>4.83</v>
      </c>
      <c r="H451" s="15">
        <v>4.5</v>
      </c>
      <c r="I451" s="18" t="s">
        <v>17</v>
      </c>
    </row>
    <row r="452" spans="1:9" ht="12.5">
      <c r="A452" s="16">
        <v>1238968</v>
      </c>
      <c r="B452" s="17" t="s">
        <v>913</v>
      </c>
      <c r="C452" s="17" t="s">
        <v>920</v>
      </c>
      <c r="D452" s="14" t="s">
        <v>2156</v>
      </c>
      <c r="E452" s="14" t="s">
        <v>2157</v>
      </c>
      <c r="F452" s="14" t="s">
        <v>2158</v>
      </c>
      <c r="G452" s="15">
        <v>4.26</v>
      </c>
      <c r="H452" s="15">
        <v>1</v>
      </c>
      <c r="I452" s="18" t="s">
        <v>21</v>
      </c>
    </row>
    <row r="453" spans="1:9" ht="12.5">
      <c r="A453" s="16">
        <v>817724</v>
      </c>
      <c r="B453" s="14" t="s">
        <v>913</v>
      </c>
      <c r="C453" s="17" t="s">
        <v>920</v>
      </c>
      <c r="D453" s="14" t="s">
        <v>2159</v>
      </c>
      <c r="E453" s="14" t="s">
        <v>2160</v>
      </c>
      <c r="F453" s="14" t="s">
        <v>2161</v>
      </c>
      <c r="G453" s="15">
        <v>4.3899999999999997</v>
      </c>
      <c r="H453" s="15">
        <v>4.7</v>
      </c>
      <c r="I453" s="18" t="s">
        <v>21</v>
      </c>
    </row>
    <row r="454" spans="1:9" ht="12.5">
      <c r="A454" s="16">
        <v>1499788</v>
      </c>
      <c r="B454" s="14" t="s">
        <v>913</v>
      </c>
      <c r="C454" s="17" t="s">
        <v>920</v>
      </c>
      <c r="D454" s="14" t="s">
        <v>2162</v>
      </c>
      <c r="E454" s="14" t="s">
        <v>2163</v>
      </c>
      <c r="F454" s="14" t="s">
        <v>2092</v>
      </c>
      <c r="G454" s="15">
        <v>4.6500000000000004</v>
      </c>
      <c r="H454" s="15">
        <v>5.9</v>
      </c>
      <c r="I454" s="18" t="s">
        <v>21</v>
      </c>
    </row>
    <row r="455" spans="1:9" ht="12.5">
      <c r="A455" s="14">
        <v>2104842</v>
      </c>
      <c r="B455" s="14" t="s">
        <v>913</v>
      </c>
      <c r="C455" s="14" t="s">
        <v>914</v>
      </c>
      <c r="D455" s="14" t="s">
        <v>2164</v>
      </c>
      <c r="E455" s="14" t="s">
        <v>2165</v>
      </c>
      <c r="F455" s="14" t="s">
        <v>1802</v>
      </c>
      <c r="G455" s="15">
        <v>4.8099999999999996</v>
      </c>
      <c r="H455" s="15">
        <v>2.4</v>
      </c>
      <c r="I455" s="14" t="s">
        <v>17</v>
      </c>
    </row>
    <row r="456" spans="1:9" ht="12.5">
      <c r="A456" s="16">
        <v>1318134</v>
      </c>
      <c r="B456" s="17" t="s">
        <v>913</v>
      </c>
      <c r="C456" s="17" t="s">
        <v>920</v>
      </c>
      <c r="D456" s="14" t="s">
        <v>2166</v>
      </c>
      <c r="E456" s="14" t="s">
        <v>2167</v>
      </c>
      <c r="F456" s="14" t="s">
        <v>2158</v>
      </c>
      <c r="G456" s="15">
        <v>4.0199999999999996</v>
      </c>
      <c r="H456" s="15">
        <v>1.3</v>
      </c>
      <c r="I456" s="18" t="s">
        <v>21</v>
      </c>
    </row>
    <row r="457" spans="1:9" ht="12.5">
      <c r="A457" s="16">
        <v>771724</v>
      </c>
      <c r="B457" s="14" t="s">
        <v>913</v>
      </c>
      <c r="C457" s="17" t="s">
        <v>920</v>
      </c>
      <c r="D457" s="14" t="s">
        <v>2168</v>
      </c>
      <c r="E457" s="14" t="s">
        <v>2169</v>
      </c>
      <c r="F457" s="14" t="s">
        <v>2170</v>
      </c>
      <c r="G457" s="15">
        <v>4.6900000000000004</v>
      </c>
      <c r="H457" s="15">
        <v>0.8</v>
      </c>
      <c r="I457" s="18" t="s">
        <v>21</v>
      </c>
    </row>
    <row r="458" spans="1:9" ht="12.5">
      <c r="A458" s="16">
        <v>1745938</v>
      </c>
      <c r="B458" s="17" t="s">
        <v>913</v>
      </c>
      <c r="C458" s="17" t="s">
        <v>946</v>
      </c>
      <c r="D458" s="14" t="s">
        <v>2171</v>
      </c>
      <c r="E458" s="14" t="s">
        <v>2172</v>
      </c>
      <c r="F458" s="14" t="s">
        <v>1214</v>
      </c>
      <c r="G458" s="15">
        <v>4.3099999999999996</v>
      </c>
      <c r="H458" s="15">
        <v>3.1</v>
      </c>
      <c r="I458" s="18" t="s">
        <v>17</v>
      </c>
    </row>
    <row r="459" spans="1:9" ht="12.5">
      <c r="A459" s="14">
        <v>2159748</v>
      </c>
      <c r="B459" s="14" t="s">
        <v>913</v>
      </c>
      <c r="C459" s="14" t="s">
        <v>920</v>
      </c>
      <c r="D459" s="14" t="s">
        <v>2173</v>
      </c>
      <c r="E459" s="14" t="s">
        <v>2174</v>
      </c>
      <c r="F459" s="14" t="s">
        <v>2092</v>
      </c>
      <c r="G459" s="15">
        <v>4.13</v>
      </c>
      <c r="H459" s="15">
        <v>2.1</v>
      </c>
      <c r="I459" s="14" t="s">
        <v>21</v>
      </c>
    </row>
    <row r="460" spans="1:9" ht="12.5">
      <c r="A460" s="16">
        <v>2309504</v>
      </c>
      <c r="B460" s="17" t="s">
        <v>913</v>
      </c>
      <c r="C460" s="17" t="s">
        <v>920</v>
      </c>
      <c r="D460" s="14" t="s">
        <v>2175</v>
      </c>
      <c r="E460" s="14" t="s">
        <v>2176</v>
      </c>
      <c r="F460" s="14" t="s">
        <v>1429</v>
      </c>
      <c r="G460" s="15">
        <v>4.49</v>
      </c>
      <c r="H460" s="15">
        <v>3.9</v>
      </c>
      <c r="I460" s="18" t="s">
        <v>72</v>
      </c>
    </row>
    <row r="461" spans="1:9" ht="12.5">
      <c r="A461" s="16">
        <v>2684502</v>
      </c>
      <c r="B461" s="17" t="s">
        <v>913</v>
      </c>
      <c r="C461" s="17" t="s">
        <v>970</v>
      </c>
      <c r="D461" s="14" t="s">
        <v>2177</v>
      </c>
      <c r="E461" s="14" t="s">
        <v>2178</v>
      </c>
      <c r="F461" s="14" t="s">
        <v>2179</v>
      </c>
      <c r="G461" s="15">
        <v>4.5999999999999996</v>
      </c>
      <c r="H461" s="15">
        <v>5.6</v>
      </c>
      <c r="I461" s="18" t="s">
        <v>17</v>
      </c>
    </row>
    <row r="462" spans="1:9" ht="12.5">
      <c r="A462" s="14">
        <v>1354304</v>
      </c>
      <c r="B462" s="14" t="s">
        <v>913</v>
      </c>
      <c r="C462" s="14" t="s">
        <v>920</v>
      </c>
      <c r="D462" s="14" t="s">
        <v>2180</v>
      </c>
      <c r="E462" s="14" t="s">
        <v>2181</v>
      </c>
      <c r="F462" s="14" t="s">
        <v>2182</v>
      </c>
      <c r="G462" s="19">
        <v>4</v>
      </c>
      <c r="H462" s="15">
        <v>3</v>
      </c>
      <c r="I462" s="14" t="s">
        <v>259</v>
      </c>
    </row>
    <row r="463" spans="1:9" ht="12.5">
      <c r="A463" s="14">
        <v>1196108</v>
      </c>
      <c r="B463" s="14" t="s">
        <v>913</v>
      </c>
      <c r="C463" s="14" t="s">
        <v>946</v>
      </c>
      <c r="D463" s="14" t="s">
        <v>2183</v>
      </c>
      <c r="E463" s="14" t="s">
        <v>2183</v>
      </c>
      <c r="F463" s="14" t="s">
        <v>2184</v>
      </c>
      <c r="G463" s="15">
        <v>4.41</v>
      </c>
      <c r="H463" s="15">
        <v>3.7</v>
      </c>
      <c r="I463" s="14" t="s">
        <v>21</v>
      </c>
    </row>
    <row r="464" spans="1:9" ht="12.5">
      <c r="A464" s="16">
        <v>2238658</v>
      </c>
      <c r="B464" s="17" t="s">
        <v>913</v>
      </c>
      <c r="C464" s="17" t="s">
        <v>914</v>
      </c>
      <c r="D464" s="14" t="s">
        <v>2185</v>
      </c>
      <c r="E464" s="14" t="s">
        <v>2186</v>
      </c>
      <c r="F464" s="14" t="s">
        <v>1802</v>
      </c>
      <c r="G464" s="15">
        <v>4.76</v>
      </c>
      <c r="H464" s="15">
        <v>1.9</v>
      </c>
      <c r="I464" s="18" t="s">
        <v>17</v>
      </c>
    </row>
    <row r="465" spans="1:9" ht="12.5">
      <c r="A465" s="16">
        <v>849736</v>
      </c>
      <c r="B465" s="14" t="s">
        <v>913</v>
      </c>
      <c r="C465" s="17" t="s">
        <v>970</v>
      </c>
      <c r="D465" s="14" t="s">
        <v>2187</v>
      </c>
      <c r="E465" s="14" t="s">
        <v>2188</v>
      </c>
      <c r="F465" s="14" t="s">
        <v>2189</v>
      </c>
      <c r="G465" s="15">
        <v>4.6500000000000004</v>
      </c>
      <c r="H465" s="15">
        <v>0.9</v>
      </c>
      <c r="I465" s="18" t="s">
        <v>17</v>
      </c>
    </row>
    <row r="466" spans="1:9" ht="12.5">
      <c r="A466" s="16">
        <v>2210888</v>
      </c>
      <c r="B466" s="17" t="s">
        <v>913</v>
      </c>
      <c r="C466" s="17" t="s">
        <v>970</v>
      </c>
      <c r="D466" s="14" t="s">
        <v>2190</v>
      </c>
      <c r="E466" s="14" t="s">
        <v>2191</v>
      </c>
      <c r="F466" s="14" t="s">
        <v>2192</v>
      </c>
      <c r="G466" s="15">
        <v>4.21</v>
      </c>
      <c r="H466" s="15">
        <v>1.2</v>
      </c>
      <c r="I466" s="18" t="s">
        <v>21</v>
      </c>
    </row>
    <row r="467" spans="1:9" ht="12.5">
      <c r="A467" s="16">
        <v>3059464</v>
      </c>
      <c r="B467" s="17" t="s">
        <v>913</v>
      </c>
      <c r="C467" s="17" t="s">
        <v>914</v>
      </c>
      <c r="D467" s="14" t="s">
        <v>2193</v>
      </c>
      <c r="E467" s="14" t="s">
        <v>2194</v>
      </c>
      <c r="F467" s="14" t="s">
        <v>2195</v>
      </c>
      <c r="G467" s="15">
        <v>4.5999999999999996</v>
      </c>
      <c r="H467" s="15">
        <v>0.6</v>
      </c>
      <c r="I467" s="18" t="s">
        <v>17</v>
      </c>
    </row>
    <row r="468" spans="1:9" ht="12.5">
      <c r="A468" s="16">
        <v>1565848</v>
      </c>
      <c r="B468" s="17" t="s">
        <v>913</v>
      </c>
      <c r="C468" s="17" t="s">
        <v>920</v>
      </c>
      <c r="D468" s="14" t="s">
        <v>2196</v>
      </c>
      <c r="E468" s="14" t="s">
        <v>2196</v>
      </c>
      <c r="F468" s="14" t="s">
        <v>2197</v>
      </c>
      <c r="G468" s="15">
        <v>4.49</v>
      </c>
      <c r="H468" s="15">
        <v>3.2</v>
      </c>
      <c r="I468" s="18" t="s">
        <v>72</v>
      </c>
    </row>
    <row r="469" spans="1:9" ht="12.5">
      <c r="A469" s="14">
        <v>2541474</v>
      </c>
      <c r="B469" s="14" t="s">
        <v>913</v>
      </c>
      <c r="C469" s="14" t="s">
        <v>920</v>
      </c>
      <c r="D469" s="14" t="s">
        <v>2198</v>
      </c>
      <c r="E469" s="14" t="s">
        <v>2199</v>
      </c>
      <c r="F469" s="14" t="s">
        <v>1249</v>
      </c>
      <c r="G469" s="15">
        <v>3.92</v>
      </c>
      <c r="H469" s="15">
        <v>5.4</v>
      </c>
      <c r="I469" s="14" t="s">
        <v>21</v>
      </c>
    </row>
    <row r="470" spans="1:9" ht="12.5">
      <c r="A470" s="16">
        <v>1390832</v>
      </c>
      <c r="B470" s="17" t="s">
        <v>913</v>
      </c>
      <c r="C470" s="17" t="s">
        <v>920</v>
      </c>
      <c r="D470" s="14" t="s">
        <v>2200</v>
      </c>
      <c r="E470" s="14" t="s">
        <v>2201</v>
      </c>
      <c r="F470" s="14" t="s">
        <v>2158</v>
      </c>
      <c r="G470" s="15">
        <v>4.58</v>
      </c>
      <c r="H470" s="15">
        <v>1.5</v>
      </c>
      <c r="I470" s="18" t="s">
        <v>21</v>
      </c>
    </row>
    <row r="471" spans="1:9" ht="12.5">
      <c r="A471" s="14">
        <v>1648508</v>
      </c>
      <c r="B471" s="14" t="s">
        <v>913</v>
      </c>
      <c r="C471" s="14" t="s">
        <v>920</v>
      </c>
      <c r="D471" s="14" t="s">
        <v>2202</v>
      </c>
      <c r="E471" s="14" t="s">
        <v>2203</v>
      </c>
      <c r="F471" s="14" t="s">
        <v>1260</v>
      </c>
      <c r="G471" s="15">
        <v>4.83</v>
      </c>
      <c r="H471" s="15">
        <v>3.6</v>
      </c>
      <c r="I471" s="14" t="s">
        <v>21</v>
      </c>
    </row>
    <row r="472" spans="1:9" ht="12.5">
      <c r="A472" s="16">
        <v>859804</v>
      </c>
      <c r="B472" s="17" t="s">
        <v>913</v>
      </c>
      <c r="C472" s="17" t="s">
        <v>920</v>
      </c>
      <c r="D472" s="14" t="s">
        <v>2204</v>
      </c>
      <c r="E472" s="14" t="s">
        <v>2205</v>
      </c>
      <c r="F472" s="14" t="s">
        <v>2206</v>
      </c>
      <c r="G472" s="15">
        <v>4.54</v>
      </c>
      <c r="H472" s="15">
        <v>0.9</v>
      </c>
      <c r="I472" s="18" t="s">
        <v>72</v>
      </c>
    </row>
    <row r="473" spans="1:9" ht="12.5">
      <c r="A473" s="16">
        <v>1774922</v>
      </c>
      <c r="B473" s="17" t="s">
        <v>913</v>
      </c>
      <c r="C473" s="17" t="s">
        <v>970</v>
      </c>
      <c r="D473" s="14" t="s">
        <v>2207</v>
      </c>
      <c r="E473" s="14" t="s">
        <v>2208</v>
      </c>
      <c r="F473" s="14" t="s">
        <v>2209</v>
      </c>
      <c r="G473" s="15">
        <v>4.6500000000000004</v>
      </c>
      <c r="H473" s="15">
        <v>2.9</v>
      </c>
      <c r="I473" s="18" t="s">
        <v>21</v>
      </c>
    </row>
    <row r="474" spans="1:9" ht="12.5">
      <c r="A474" s="16">
        <v>647106</v>
      </c>
      <c r="B474" s="17" t="s">
        <v>913</v>
      </c>
      <c r="C474" s="17" t="s">
        <v>970</v>
      </c>
      <c r="D474" s="14" t="s">
        <v>2210</v>
      </c>
      <c r="E474" s="14" t="s">
        <v>2211</v>
      </c>
      <c r="F474" s="14" t="s">
        <v>2212</v>
      </c>
      <c r="G474" s="15">
        <v>4.7</v>
      </c>
      <c r="H474" s="15">
        <v>1</v>
      </c>
      <c r="I474" s="18" t="s">
        <v>21</v>
      </c>
    </row>
    <row r="475" spans="1:9" ht="12.5">
      <c r="A475" s="16">
        <v>680760</v>
      </c>
      <c r="B475" s="17" t="s">
        <v>913</v>
      </c>
      <c r="C475" s="17" t="s">
        <v>970</v>
      </c>
      <c r="D475" s="14" t="s">
        <v>2213</v>
      </c>
      <c r="E475" s="14" t="s">
        <v>2214</v>
      </c>
      <c r="F475" s="14" t="s">
        <v>2189</v>
      </c>
      <c r="G475" s="15">
        <v>4.45</v>
      </c>
      <c r="H475" s="15">
        <v>3</v>
      </c>
      <c r="I475" s="18" t="s">
        <v>17</v>
      </c>
    </row>
    <row r="476" spans="1:9" ht="12.5">
      <c r="A476" s="16">
        <v>2252806</v>
      </c>
      <c r="B476" s="14" t="s">
        <v>913</v>
      </c>
      <c r="C476" s="17" t="s">
        <v>920</v>
      </c>
      <c r="D476" s="14" t="s">
        <v>2215</v>
      </c>
      <c r="E476" s="14" t="s">
        <v>2216</v>
      </c>
      <c r="F476" s="14" t="s">
        <v>1882</v>
      </c>
      <c r="G476" s="15">
        <v>4.47</v>
      </c>
      <c r="H476" s="15">
        <v>2.5</v>
      </c>
      <c r="I476" s="18" t="s">
        <v>21</v>
      </c>
    </row>
    <row r="477" spans="1:9" ht="12.5">
      <c r="A477" s="14">
        <v>1477828</v>
      </c>
      <c r="B477" s="14" t="s">
        <v>913</v>
      </c>
      <c r="C477" s="14" t="s">
        <v>970</v>
      </c>
      <c r="D477" s="14" t="s">
        <v>2217</v>
      </c>
      <c r="E477" s="14" t="s">
        <v>2218</v>
      </c>
      <c r="F477" s="14" t="s">
        <v>2219</v>
      </c>
      <c r="G477" s="15">
        <v>4.42</v>
      </c>
      <c r="H477" s="15">
        <v>2</v>
      </c>
      <c r="I477" s="14" t="s">
        <v>17</v>
      </c>
    </row>
    <row r="478" spans="1:9" ht="12.5">
      <c r="A478" s="16">
        <v>1714228</v>
      </c>
      <c r="B478" s="17" t="s">
        <v>913</v>
      </c>
      <c r="C478" s="17" t="s">
        <v>920</v>
      </c>
      <c r="D478" s="14" t="s">
        <v>2220</v>
      </c>
      <c r="E478" s="14" t="s">
        <v>2221</v>
      </c>
      <c r="F478" s="14" t="s">
        <v>2092</v>
      </c>
      <c r="G478" s="15">
        <v>4.59</v>
      </c>
      <c r="H478" s="15">
        <v>4.2</v>
      </c>
      <c r="I478" s="18" t="s">
        <v>72</v>
      </c>
    </row>
    <row r="479" spans="1:9" ht="12.5">
      <c r="A479" s="14">
        <v>1575168</v>
      </c>
      <c r="B479" s="14" t="s">
        <v>913</v>
      </c>
      <c r="C479" s="14" t="s">
        <v>920</v>
      </c>
      <c r="D479" s="14" t="s">
        <v>2222</v>
      </c>
      <c r="E479" s="14" t="s">
        <v>2223</v>
      </c>
      <c r="F479" s="14" t="s">
        <v>1297</v>
      </c>
      <c r="G479" s="15">
        <v>3.21</v>
      </c>
      <c r="H479" s="15">
        <v>1.8</v>
      </c>
      <c r="I479" s="14" t="s">
        <v>21</v>
      </c>
    </row>
    <row r="480" spans="1:9" ht="12.5">
      <c r="A480" s="16">
        <v>1019086</v>
      </c>
      <c r="B480" s="17" t="s">
        <v>913</v>
      </c>
      <c r="C480" s="17" t="s">
        <v>970</v>
      </c>
      <c r="D480" s="14" t="s">
        <v>2224</v>
      </c>
      <c r="E480" s="14" t="s">
        <v>2225</v>
      </c>
      <c r="F480" s="14" t="s">
        <v>1297</v>
      </c>
      <c r="G480" s="15">
        <v>3.81</v>
      </c>
      <c r="H480" s="15">
        <v>4.2</v>
      </c>
      <c r="I480" s="18" t="s">
        <v>21</v>
      </c>
    </row>
    <row r="481" spans="1:9" ht="12.5">
      <c r="A481" s="16">
        <v>2738020</v>
      </c>
      <c r="B481" s="17" t="s">
        <v>913</v>
      </c>
      <c r="C481" s="17" t="s">
        <v>920</v>
      </c>
      <c r="D481" s="14" t="s">
        <v>2226</v>
      </c>
      <c r="E481" s="14" t="s">
        <v>2227</v>
      </c>
      <c r="F481" s="14" t="s">
        <v>2112</v>
      </c>
      <c r="G481" s="15">
        <v>4.18</v>
      </c>
      <c r="H481" s="15">
        <v>2.5</v>
      </c>
      <c r="I481" s="18" t="s">
        <v>17</v>
      </c>
    </row>
    <row r="482" spans="1:9" ht="12.5">
      <c r="A482" s="16">
        <v>1457162</v>
      </c>
      <c r="B482" s="17" t="s">
        <v>913</v>
      </c>
      <c r="C482" s="17" t="s">
        <v>970</v>
      </c>
      <c r="D482" s="14" t="s">
        <v>2228</v>
      </c>
      <c r="E482" s="14" t="s">
        <v>2229</v>
      </c>
      <c r="F482" s="14" t="s">
        <v>2230</v>
      </c>
      <c r="G482" s="15">
        <v>3.84</v>
      </c>
      <c r="H482" s="15">
        <v>6.7</v>
      </c>
      <c r="I482" s="18" t="s">
        <v>21</v>
      </c>
    </row>
    <row r="483" spans="1:9" ht="12.5">
      <c r="A483" s="16">
        <v>800848</v>
      </c>
      <c r="B483" s="17" t="s">
        <v>1034</v>
      </c>
      <c r="C483" s="17" t="s">
        <v>1043</v>
      </c>
      <c r="D483" s="14" t="s">
        <v>2231</v>
      </c>
      <c r="E483" s="14" t="s">
        <v>2231</v>
      </c>
      <c r="F483" s="14" t="s">
        <v>1719</v>
      </c>
      <c r="G483" s="15">
        <v>4.51</v>
      </c>
      <c r="H483" s="15">
        <v>5.3</v>
      </c>
      <c r="I483" s="18" t="s">
        <v>17</v>
      </c>
    </row>
    <row r="484" spans="1:9" ht="12.5">
      <c r="A484" s="16">
        <v>1581856</v>
      </c>
      <c r="B484" s="14" t="s">
        <v>1034</v>
      </c>
      <c r="C484" s="17" t="s">
        <v>1035</v>
      </c>
      <c r="D484" s="14" t="s">
        <v>2232</v>
      </c>
      <c r="E484" s="14" t="s">
        <v>2232</v>
      </c>
      <c r="F484" s="14" t="s">
        <v>1719</v>
      </c>
      <c r="G484" s="15">
        <v>4.5</v>
      </c>
      <c r="H484" s="15">
        <v>4.2</v>
      </c>
      <c r="I484" s="18" t="s">
        <v>17</v>
      </c>
    </row>
    <row r="485" spans="1:9" ht="12.5">
      <c r="A485" s="16">
        <v>3097064</v>
      </c>
      <c r="B485" s="17" t="s">
        <v>1034</v>
      </c>
      <c r="C485" s="17" t="s">
        <v>1040</v>
      </c>
      <c r="D485" s="14" t="s">
        <v>2233</v>
      </c>
      <c r="E485" s="14" t="s">
        <v>2234</v>
      </c>
      <c r="F485" s="14" t="s">
        <v>1374</v>
      </c>
      <c r="G485" s="15">
        <v>4.28</v>
      </c>
      <c r="H485" s="15">
        <v>6.4</v>
      </c>
      <c r="I485" s="18" t="s">
        <v>21</v>
      </c>
    </row>
    <row r="486" spans="1:9" ht="12.5">
      <c r="A486" s="16">
        <v>802806</v>
      </c>
      <c r="B486" s="14" t="s">
        <v>1034</v>
      </c>
      <c r="C486" s="17" t="s">
        <v>1040</v>
      </c>
      <c r="D486" s="14" t="s">
        <v>2235</v>
      </c>
      <c r="E486" s="14" t="s">
        <v>2236</v>
      </c>
      <c r="F486" s="14" t="s">
        <v>1930</v>
      </c>
      <c r="G486" s="15">
        <v>4.5</v>
      </c>
      <c r="H486" s="15">
        <v>12.9</v>
      </c>
      <c r="I486" s="18" t="s">
        <v>21</v>
      </c>
    </row>
    <row r="487" spans="1:9" ht="12.5">
      <c r="A487" s="16">
        <v>2557436</v>
      </c>
      <c r="B487" s="14" t="s">
        <v>1034</v>
      </c>
      <c r="C487" s="17" t="s">
        <v>1035</v>
      </c>
      <c r="D487" s="14" t="s">
        <v>2237</v>
      </c>
      <c r="E487" s="14" t="s">
        <v>2238</v>
      </c>
      <c r="F487" s="14" t="s">
        <v>2239</v>
      </c>
      <c r="G487" s="15">
        <v>4.63</v>
      </c>
      <c r="H487" s="15">
        <v>12</v>
      </c>
      <c r="I487" s="18" t="s">
        <v>21</v>
      </c>
    </row>
    <row r="488" spans="1:9" ht="12.5">
      <c r="A488" s="16">
        <v>2009260</v>
      </c>
      <c r="B488" s="17" t="s">
        <v>1034</v>
      </c>
      <c r="C488" s="17" t="s">
        <v>1050</v>
      </c>
      <c r="D488" s="14" t="s">
        <v>2240</v>
      </c>
      <c r="E488" s="14" t="s">
        <v>2241</v>
      </c>
      <c r="F488" s="14" t="s">
        <v>1719</v>
      </c>
      <c r="G488" s="19">
        <v>4.1399999999999997</v>
      </c>
      <c r="H488" s="15">
        <v>5</v>
      </c>
      <c r="I488" s="18" t="s">
        <v>17</v>
      </c>
    </row>
    <row r="489" spans="1:9" ht="12.5">
      <c r="A489" s="14">
        <v>2151430</v>
      </c>
      <c r="B489" s="14" t="s">
        <v>1034</v>
      </c>
      <c r="C489" s="14" t="s">
        <v>1035</v>
      </c>
      <c r="D489" s="14" t="s">
        <v>2242</v>
      </c>
      <c r="E489" s="14" t="s">
        <v>2243</v>
      </c>
      <c r="F489" s="14" t="s">
        <v>2244</v>
      </c>
      <c r="G489" s="19">
        <v>4.3</v>
      </c>
      <c r="H489" s="15">
        <v>4.2</v>
      </c>
      <c r="I489" s="14" t="s">
        <v>21</v>
      </c>
    </row>
    <row r="490" spans="1:9" ht="12.5">
      <c r="A490" s="14">
        <v>1096818</v>
      </c>
      <c r="B490" s="14" t="s">
        <v>1034</v>
      </c>
      <c r="C490" s="14" t="s">
        <v>1040</v>
      </c>
      <c r="D490" s="14" t="s">
        <v>2245</v>
      </c>
      <c r="E490" s="14" t="s">
        <v>2246</v>
      </c>
      <c r="F490" s="14" t="s">
        <v>1930</v>
      </c>
      <c r="G490" s="19">
        <v>4.28</v>
      </c>
      <c r="H490" s="15">
        <v>7.2</v>
      </c>
      <c r="I490" s="14" t="s">
        <v>21</v>
      </c>
    </row>
    <row r="491" spans="1:9" ht="12.5">
      <c r="A491" s="16">
        <v>1692906</v>
      </c>
      <c r="B491" s="17" t="s">
        <v>1034</v>
      </c>
      <c r="C491" s="17" t="s">
        <v>1050</v>
      </c>
      <c r="D491" s="14" t="s">
        <v>2247</v>
      </c>
      <c r="E491" s="14" t="s">
        <v>2248</v>
      </c>
      <c r="F491" s="14" t="s">
        <v>2249</v>
      </c>
      <c r="G491" s="15">
        <v>4.2</v>
      </c>
      <c r="H491" s="15">
        <v>1.9</v>
      </c>
      <c r="I491" s="18" t="s">
        <v>21</v>
      </c>
    </row>
    <row r="492" spans="1:9" ht="12.5">
      <c r="A492" s="16">
        <v>2826519</v>
      </c>
      <c r="B492" s="17" t="s">
        <v>1034</v>
      </c>
      <c r="C492" s="17" t="s">
        <v>1050</v>
      </c>
      <c r="D492" s="14" t="s">
        <v>2250</v>
      </c>
      <c r="E492" s="14" t="s">
        <v>2251</v>
      </c>
      <c r="F492" s="14" t="s">
        <v>2252</v>
      </c>
      <c r="G492" s="15">
        <v>4.6100000000000003</v>
      </c>
      <c r="H492" s="15">
        <v>2.2999999999999998</v>
      </c>
      <c r="I492" s="18" t="s">
        <v>21</v>
      </c>
    </row>
    <row r="493" spans="1:9" ht="12.5">
      <c r="A493" s="16">
        <v>3025710</v>
      </c>
      <c r="B493" s="17" t="s">
        <v>1034</v>
      </c>
      <c r="C493" s="17" t="s">
        <v>1035</v>
      </c>
      <c r="D493" s="14" t="s">
        <v>2253</v>
      </c>
      <c r="E493" s="14" t="s">
        <v>2254</v>
      </c>
      <c r="F493" s="14" t="s">
        <v>2255</v>
      </c>
      <c r="G493" s="15">
        <v>4.32</v>
      </c>
      <c r="H493" s="15">
        <v>4</v>
      </c>
      <c r="I493" s="18" t="s">
        <v>21</v>
      </c>
    </row>
    <row r="494" spans="1:9" ht="12.5">
      <c r="A494" s="14">
        <v>1021794</v>
      </c>
      <c r="B494" s="14" t="s">
        <v>1034</v>
      </c>
      <c r="C494" s="14" t="s">
        <v>1035</v>
      </c>
      <c r="D494" s="17" t="s">
        <v>2256</v>
      </c>
      <c r="E494" s="14" t="s">
        <v>2257</v>
      </c>
      <c r="F494" s="14" t="s">
        <v>2258</v>
      </c>
      <c r="G494" s="15">
        <v>4.66</v>
      </c>
      <c r="H494" s="15">
        <v>1.3</v>
      </c>
      <c r="I494" s="14" t="s">
        <v>17</v>
      </c>
    </row>
    <row r="495" spans="1:9" ht="12.5">
      <c r="A495" s="14">
        <v>1555022</v>
      </c>
      <c r="B495" s="14" t="s">
        <v>1034</v>
      </c>
      <c r="C495" s="14" t="s">
        <v>1040</v>
      </c>
      <c r="D495" s="14" t="s">
        <v>2259</v>
      </c>
      <c r="E495" s="14" t="s">
        <v>2260</v>
      </c>
      <c r="F495" s="14" t="s">
        <v>1930</v>
      </c>
      <c r="G495" s="15">
        <v>4.42</v>
      </c>
      <c r="H495" s="15">
        <v>2.2000000000000002</v>
      </c>
      <c r="I495" s="14" t="s">
        <v>17</v>
      </c>
    </row>
    <row r="496" spans="1:9" ht="12.5">
      <c r="A496" s="16">
        <v>677298</v>
      </c>
      <c r="B496" s="14" t="s">
        <v>1034</v>
      </c>
      <c r="C496" s="17" t="s">
        <v>1047</v>
      </c>
      <c r="D496" s="14" t="s">
        <v>2261</v>
      </c>
      <c r="E496" s="14" t="s">
        <v>2262</v>
      </c>
      <c r="F496" s="14" t="s">
        <v>1507</v>
      </c>
      <c r="G496" s="15">
        <v>4.28</v>
      </c>
      <c r="H496" s="15">
        <v>4.9000000000000004</v>
      </c>
      <c r="I496" s="18" t="s">
        <v>17</v>
      </c>
    </row>
    <row r="497" spans="1:9" ht="12.5">
      <c r="A497" s="16">
        <v>3611832</v>
      </c>
      <c r="B497" s="14" t="s">
        <v>1034</v>
      </c>
      <c r="C497" s="17" t="s">
        <v>1047</v>
      </c>
      <c r="D497" s="14" t="s">
        <v>2263</v>
      </c>
      <c r="E497" s="14" t="s">
        <v>2264</v>
      </c>
      <c r="F497" s="14" t="s">
        <v>2265</v>
      </c>
      <c r="G497" s="15">
        <v>4.66</v>
      </c>
      <c r="H497" s="15">
        <v>5.2</v>
      </c>
      <c r="I497" s="18" t="s">
        <v>21</v>
      </c>
    </row>
    <row r="498" spans="1:9" ht="12.5">
      <c r="A498" s="16">
        <v>1124964</v>
      </c>
      <c r="B498" s="17" t="s">
        <v>1066</v>
      </c>
      <c r="C498" s="17" t="s">
        <v>1067</v>
      </c>
      <c r="D498" s="14" t="s">
        <v>2266</v>
      </c>
      <c r="E498" s="14" t="s">
        <v>2267</v>
      </c>
      <c r="F498" s="14" t="s">
        <v>1716</v>
      </c>
      <c r="G498" s="15">
        <v>4.53</v>
      </c>
      <c r="H498" s="15">
        <v>3.4</v>
      </c>
      <c r="I498" s="18" t="s">
        <v>21</v>
      </c>
    </row>
    <row r="499" spans="1:9" ht="12.5">
      <c r="A499" s="14">
        <v>2818337</v>
      </c>
      <c r="B499" s="14" t="s">
        <v>1066</v>
      </c>
      <c r="C499" s="14" t="s">
        <v>1067</v>
      </c>
      <c r="D499" s="14" t="s">
        <v>2268</v>
      </c>
      <c r="E499" s="14" t="s">
        <v>2269</v>
      </c>
      <c r="F499" s="14" t="s">
        <v>1716</v>
      </c>
      <c r="G499" s="14">
        <v>4.6500000000000004</v>
      </c>
      <c r="H499" s="14">
        <v>4.9000000000000004</v>
      </c>
      <c r="I499" s="14" t="s">
        <v>21</v>
      </c>
    </row>
    <row r="500" spans="1:9" ht="12.5">
      <c r="A500" s="14">
        <v>1881192</v>
      </c>
      <c r="B500" s="14" t="s">
        <v>1066</v>
      </c>
      <c r="C500" s="14" t="s">
        <v>1076</v>
      </c>
      <c r="D500" s="14" t="s">
        <v>2270</v>
      </c>
      <c r="E500" s="14" t="s">
        <v>2271</v>
      </c>
      <c r="F500" s="14" t="s">
        <v>1794</v>
      </c>
      <c r="G500" s="14">
        <v>4.82</v>
      </c>
      <c r="H500" s="14">
        <v>2.4</v>
      </c>
      <c r="I500" s="14" t="s">
        <v>21</v>
      </c>
    </row>
    <row r="501" spans="1:9" ht="12.5">
      <c r="A501" s="14">
        <v>2043514</v>
      </c>
      <c r="B501" s="14" t="s">
        <v>1066</v>
      </c>
      <c r="C501" s="14" t="s">
        <v>1067</v>
      </c>
      <c r="D501" s="14" t="s">
        <v>2272</v>
      </c>
      <c r="E501" s="14" t="s">
        <v>2273</v>
      </c>
      <c r="F501" s="14" t="s">
        <v>2061</v>
      </c>
      <c r="G501" s="14">
        <v>4.55</v>
      </c>
      <c r="H501" s="14">
        <v>2.2000000000000002</v>
      </c>
      <c r="I501" s="14" t="s">
        <v>21</v>
      </c>
    </row>
    <row r="502" spans="1:9" ht="12.5">
      <c r="A502" s="14">
        <v>346338</v>
      </c>
      <c r="B502" s="14" t="s">
        <v>1066</v>
      </c>
      <c r="C502" s="14" t="s">
        <v>1067</v>
      </c>
      <c r="D502" s="14" t="s">
        <v>2274</v>
      </c>
      <c r="E502" s="14" t="s">
        <v>2275</v>
      </c>
      <c r="F502" s="14" t="s">
        <v>2276</v>
      </c>
      <c r="G502" s="14">
        <v>4.22</v>
      </c>
      <c r="H502" s="14">
        <v>2.2999999999999998</v>
      </c>
      <c r="I502" s="14" t="s">
        <v>21</v>
      </c>
    </row>
    <row r="503" spans="1:9" ht="12.5">
      <c r="A503" s="14">
        <v>685982</v>
      </c>
      <c r="B503" s="14" t="s">
        <v>1066</v>
      </c>
      <c r="C503" s="14" t="s">
        <v>1076</v>
      </c>
      <c r="D503" s="14" t="s">
        <v>2277</v>
      </c>
      <c r="E503" s="14" t="s">
        <v>2278</v>
      </c>
      <c r="F503" s="14" t="s">
        <v>2279</v>
      </c>
      <c r="G503" s="14">
        <v>4.3899999999999997</v>
      </c>
      <c r="H503" s="14">
        <v>2.2000000000000002</v>
      </c>
      <c r="I503" s="14" t="s">
        <v>17</v>
      </c>
    </row>
    <row r="504" spans="1:9" ht="12.5">
      <c r="A504" s="14">
        <v>1129448</v>
      </c>
      <c r="B504" s="14" t="s">
        <v>1066</v>
      </c>
      <c r="C504" s="14" t="s">
        <v>1067</v>
      </c>
      <c r="D504" s="14" t="s">
        <v>2280</v>
      </c>
      <c r="E504" s="14" t="s">
        <v>2281</v>
      </c>
      <c r="F504" s="14" t="s">
        <v>2282</v>
      </c>
      <c r="G504" s="14">
        <v>4.4000000000000004</v>
      </c>
      <c r="H504" s="14">
        <v>4.0999999999999996</v>
      </c>
      <c r="I504" s="14" t="s">
        <v>21</v>
      </c>
    </row>
    <row r="505" spans="1:9" ht="12.5">
      <c r="A505" s="14">
        <v>1794822</v>
      </c>
      <c r="B505" s="14" t="s">
        <v>1082</v>
      </c>
      <c r="C505" s="14" t="s">
        <v>2283</v>
      </c>
      <c r="D505" s="14" t="s">
        <v>2284</v>
      </c>
      <c r="E505" s="14" t="s">
        <v>2285</v>
      </c>
      <c r="F505" s="14" t="s">
        <v>2092</v>
      </c>
      <c r="G505" s="14">
        <v>4.4400000000000004</v>
      </c>
      <c r="H505" s="14">
        <v>3.6</v>
      </c>
      <c r="I505" s="14" t="s">
        <v>17</v>
      </c>
    </row>
    <row r="506" spans="1:9" ht="12.5">
      <c r="A506" s="14">
        <v>1439098</v>
      </c>
      <c r="B506" s="14" t="s">
        <v>1082</v>
      </c>
      <c r="C506" s="14" t="s">
        <v>1086</v>
      </c>
      <c r="D506" s="14" t="s">
        <v>2286</v>
      </c>
      <c r="E506" s="14" t="s">
        <v>2287</v>
      </c>
      <c r="F506" s="14" t="s">
        <v>1716</v>
      </c>
      <c r="G506" s="14">
        <v>4.4400000000000004</v>
      </c>
      <c r="H506" s="14">
        <v>3</v>
      </c>
      <c r="I506" s="14" t="s">
        <v>21</v>
      </c>
    </row>
    <row r="507" spans="1:9" ht="12.5">
      <c r="A507" s="14">
        <v>2386278</v>
      </c>
      <c r="B507" s="14" t="s">
        <v>1082</v>
      </c>
      <c r="C507" s="14" t="s">
        <v>1086</v>
      </c>
      <c r="D507" s="14" t="s">
        <v>2288</v>
      </c>
      <c r="E507" s="14" t="s">
        <v>2289</v>
      </c>
      <c r="F507" s="14" t="s">
        <v>1713</v>
      </c>
      <c r="G507" s="14">
        <v>4.6500000000000004</v>
      </c>
      <c r="H507" s="14">
        <v>2.9</v>
      </c>
      <c r="I507" s="14" t="s">
        <v>21</v>
      </c>
    </row>
    <row r="508" spans="1:9" ht="12.5">
      <c r="A508" s="14">
        <v>1411626</v>
      </c>
      <c r="B508" s="14" t="s">
        <v>1082</v>
      </c>
      <c r="C508" s="14" t="s">
        <v>2283</v>
      </c>
      <c r="D508" s="14" t="s">
        <v>2290</v>
      </c>
      <c r="E508" s="14" t="s">
        <v>2291</v>
      </c>
      <c r="F508" s="14" t="s">
        <v>2292</v>
      </c>
      <c r="G508" s="14">
        <v>4.17</v>
      </c>
      <c r="H508" s="14">
        <v>3.9</v>
      </c>
      <c r="I508" s="14" t="s">
        <v>72</v>
      </c>
    </row>
    <row r="509" spans="1:9" ht="12.5">
      <c r="A509" s="14">
        <v>1355300</v>
      </c>
      <c r="B509" s="14" t="s">
        <v>1082</v>
      </c>
      <c r="C509" s="14" t="s">
        <v>2293</v>
      </c>
      <c r="D509" s="14" t="s">
        <v>2294</v>
      </c>
      <c r="E509" s="14" t="s">
        <v>2295</v>
      </c>
      <c r="F509" s="14" t="s">
        <v>2032</v>
      </c>
      <c r="G509" s="14">
        <v>4.67</v>
      </c>
      <c r="H509" s="14">
        <v>0.9</v>
      </c>
      <c r="I509" s="14" t="s">
        <v>17</v>
      </c>
    </row>
    <row r="510" spans="1:9" ht="12.5">
      <c r="A510" s="14">
        <v>816250</v>
      </c>
      <c r="B510" s="14" t="s">
        <v>1082</v>
      </c>
      <c r="C510" s="14" t="s">
        <v>2293</v>
      </c>
      <c r="D510" s="14" t="s">
        <v>2296</v>
      </c>
      <c r="E510" s="14" t="s">
        <v>2297</v>
      </c>
      <c r="F510" s="14" t="s">
        <v>2097</v>
      </c>
      <c r="G510" s="14">
        <v>4.16</v>
      </c>
      <c r="H510" s="14">
        <v>1.3</v>
      </c>
      <c r="I510" s="14" t="s">
        <v>21</v>
      </c>
    </row>
    <row r="511" spans="1:9" ht="12.5">
      <c r="A511" s="14">
        <v>1469688</v>
      </c>
      <c r="B511" s="14" t="s">
        <v>1082</v>
      </c>
      <c r="C511" s="14" t="s">
        <v>2293</v>
      </c>
      <c r="D511" s="14" t="s">
        <v>2298</v>
      </c>
      <c r="E511" s="14" t="s">
        <v>2299</v>
      </c>
      <c r="F511" s="14" t="s">
        <v>2092</v>
      </c>
      <c r="G511" s="14">
        <v>4.8899999999999997</v>
      </c>
      <c r="H511" s="14">
        <v>6</v>
      </c>
      <c r="I511" s="14" t="s">
        <v>21</v>
      </c>
    </row>
  </sheetData>
  <autoFilter ref="A4:I511" xr:uid="{00000000-0009-0000-0000-000001000000}">
    <sortState xmlns:xlrd2="http://schemas.microsoft.com/office/spreadsheetml/2017/richdata2" ref="A4:I511">
      <sortCondition ref="B4:B511"/>
      <sortCondition ref="C4:C511"/>
      <sortCondition ref="D4:D511"/>
    </sortState>
  </autoFilter>
  <mergeCells count="3">
    <mergeCell ref="D1:G1"/>
    <mergeCell ref="B2:I2"/>
    <mergeCell ref="B3: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845"/>
  <sheetViews>
    <sheetView showGridLines="0" topLeftCell="D1" workbookViewId="0">
      <pane ySplit="4" topLeftCell="A845" activePane="bottomLeft" state="frozen"/>
      <selection pane="bottomLeft" activeCell="D846" sqref="D846"/>
    </sheetView>
  </sheetViews>
  <sheetFormatPr defaultColWidth="14.453125" defaultRowHeight="15.75" customHeight="1"/>
  <cols>
    <col min="1" max="1" width="14.453125" customWidth="1"/>
    <col min="2" max="2" width="29.54296875" customWidth="1"/>
    <col min="3" max="3" width="30.54296875" customWidth="1"/>
    <col min="4" max="4" width="67.54296875" customWidth="1"/>
    <col min="5" max="5" width="68" customWidth="1"/>
    <col min="6" max="6" width="26.26953125" customWidth="1"/>
    <col min="7" max="7" width="16.54296875" customWidth="1"/>
    <col min="8" max="8" width="15.81640625" customWidth="1"/>
    <col min="9" max="9" width="20.1796875" customWidth="1"/>
  </cols>
  <sheetData>
    <row r="1" spans="1:9" ht="45" customHeight="1">
      <c r="A1" s="1"/>
      <c r="B1" s="1"/>
      <c r="C1" s="1"/>
      <c r="D1" s="64" t="s">
        <v>0</v>
      </c>
      <c r="E1" s="65"/>
      <c r="F1" s="65"/>
      <c r="G1" s="65"/>
      <c r="H1" s="1"/>
      <c r="I1" s="1"/>
    </row>
    <row r="2" spans="1:9" ht="20.25" customHeight="1">
      <c r="A2" s="2"/>
      <c r="B2" s="66" t="s">
        <v>2300</v>
      </c>
      <c r="C2" s="65"/>
      <c r="D2" s="65"/>
      <c r="E2" s="65"/>
      <c r="F2" s="65"/>
      <c r="G2" s="65"/>
      <c r="H2" s="65"/>
      <c r="I2" s="65"/>
    </row>
    <row r="3" spans="1:9" ht="20.25" customHeight="1">
      <c r="A3" s="3"/>
      <c r="B3" s="67" t="s">
        <v>2301</v>
      </c>
      <c r="C3" s="65"/>
      <c r="D3" s="65"/>
      <c r="E3" s="65"/>
      <c r="F3" s="65"/>
      <c r="G3" s="65"/>
      <c r="H3" s="65"/>
      <c r="I3" s="65"/>
    </row>
    <row r="4" spans="1:9" ht="13">
      <c r="A4" s="4" t="s">
        <v>3</v>
      </c>
      <c r="B4" s="4" t="s">
        <v>4</v>
      </c>
      <c r="C4" s="4" t="s">
        <v>5</v>
      </c>
      <c r="D4" s="4" t="s">
        <v>6</v>
      </c>
      <c r="E4" s="4" t="s">
        <v>7</v>
      </c>
      <c r="F4" s="7" t="s">
        <v>8</v>
      </c>
      <c r="G4" s="6" t="s">
        <v>9</v>
      </c>
      <c r="H4" s="6" t="s">
        <v>10</v>
      </c>
      <c r="I4" s="7" t="s">
        <v>11</v>
      </c>
    </row>
    <row r="5" spans="1:9" ht="12.5">
      <c r="A5" s="20">
        <v>1802016</v>
      </c>
      <c r="B5" s="9" t="s">
        <v>12</v>
      </c>
      <c r="C5" s="9" t="s">
        <v>13</v>
      </c>
      <c r="D5" s="9" t="s">
        <v>2302</v>
      </c>
      <c r="E5" s="9" t="s">
        <v>2303</v>
      </c>
      <c r="F5" s="9" t="s">
        <v>2304</v>
      </c>
      <c r="G5" s="10">
        <v>4.66</v>
      </c>
      <c r="H5" s="11">
        <v>6.3</v>
      </c>
      <c r="I5" s="8" t="s">
        <v>17</v>
      </c>
    </row>
    <row r="6" spans="1:9" ht="12.5">
      <c r="A6" s="20">
        <v>1099324</v>
      </c>
      <c r="B6" s="9" t="s">
        <v>12</v>
      </c>
      <c r="C6" s="9" t="s">
        <v>13</v>
      </c>
      <c r="D6" s="9" t="s">
        <v>2305</v>
      </c>
      <c r="E6" s="9" t="s">
        <v>2306</v>
      </c>
      <c r="F6" s="9" t="s">
        <v>2307</v>
      </c>
      <c r="G6" s="8">
        <v>4.22</v>
      </c>
      <c r="H6" s="8">
        <v>1.8</v>
      </c>
      <c r="I6" s="8" t="s">
        <v>17</v>
      </c>
    </row>
    <row r="7" spans="1:9" ht="12.5">
      <c r="A7" s="20">
        <v>1233870</v>
      </c>
      <c r="B7" s="9" t="s">
        <v>12</v>
      </c>
      <c r="C7" s="9" t="s">
        <v>13</v>
      </c>
      <c r="D7" s="9" t="s">
        <v>2308</v>
      </c>
      <c r="E7" s="9" t="s">
        <v>2309</v>
      </c>
      <c r="F7" s="9" t="s">
        <v>2310</v>
      </c>
      <c r="G7" s="8">
        <v>4.66</v>
      </c>
      <c r="H7" s="8">
        <v>9.3000000000000007</v>
      </c>
      <c r="I7" s="8" t="s">
        <v>72</v>
      </c>
    </row>
    <row r="8" spans="1:9" ht="12.5">
      <c r="A8" s="20">
        <v>2447400</v>
      </c>
      <c r="B8" s="9" t="s">
        <v>12</v>
      </c>
      <c r="C8" s="9" t="s">
        <v>13</v>
      </c>
      <c r="D8" s="9" t="s">
        <v>2311</v>
      </c>
      <c r="E8" s="9" t="s">
        <v>2312</v>
      </c>
      <c r="F8" s="9" t="s">
        <v>2313</v>
      </c>
      <c r="G8" s="8">
        <v>4.7</v>
      </c>
      <c r="H8" s="8">
        <v>1.9</v>
      </c>
      <c r="I8" s="8" t="s">
        <v>17</v>
      </c>
    </row>
    <row r="9" spans="1:9" ht="12.5">
      <c r="A9" s="20">
        <v>2465700</v>
      </c>
      <c r="B9" s="9" t="s">
        <v>12</v>
      </c>
      <c r="C9" s="9" t="s">
        <v>13</v>
      </c>
      <c r="D9" s="9" t="s">
        <v>2314</v>
      </c>
      <c r="E9" s="9" t="s">
        <v>2315</v>
      </c>
      <c r="F9" s="9" t="s">
        <v>2304</v>
      </c>
      <c r="G9" s="8">
        <v>4.66</v>
      </c>
      <c r="H9" s="8">
        <v>6.2</v>
      </c>
      <c r="I9" s="8" t="s">
        <v>17</v>
      </c>
    </row>
    <row r="10" spans="1:9" ht="12.5">
      <c r="A10" s="20">
        <v>3392750</v>
      </c>
      <c r="B10" s="9" t="s">
        <v>12</v>
      </c>
      <c r="C10" s="9" t="s">
        <v>13</v>
      </c>
      <c r="D10" s="9" t="s">
        <v>2316</v>
      </c>
      <c r="E10" s="9" t="s">
        <v>2317</v>
      </c>
      <c r="F10" s="9" t="s">
        <v>2318</v>
      </c>
      <c r="G10" s="8">
        <v>4.25</v>
      </c>
      <c r="H10" s="8">
        <v>6.9</v>
      </c>
      <c r="I10" s="8" t="s">
        <v>17</v>
      </c>
    </row>
    <row r="11" spans="1:9" ht="12.5">
      <c r="A11" s="20">
        <v>1587732</v>
      </c>
      <c r="B11" s="9" t="s">
        <v>12</v>
      </c>
      <c r="C11" s="9" t="s">
        <v>2319</v>
      </c>
      <c r="D11" s="9" t="s">
        <v>2320</v>
      </c>
      <c r="E11" s="9" t="s">
        <v>2321</v>
      </c>
      <c r="F11" s="9" t="s">
        <v>2322</v>
      </c>
      <c r="G11" s="8">
        <v>4.49</v>
      </c>
      <c r="H11" s="8">
        <v>13.2</v>
      </c>
      <c r="I11" s="8" t="s">
        <v>21</v>
      </c>
    </row>
    <row r="12" spans="1:9" ht="12.5">
      <c r="A12" s="20">
        <v>2110372</v>
      </c>
      <c r="B12" s="9" t="s">
        <v>12</v>
      </c>
      <c r="C12" s="9" t="s">
        <v>2319</v>
      </c>
      <c r="D12" s="9" t="s">
        <v>2323</v>
      </c>
      <c r="E12" s="9" t="s">
        <v>2324</v>
      </c>
      <c r="F12" s="9" t="s">
        <v>2325</v>
      </c>
      <c r="G12" s="8">
        <v>4.41</v>
      </c>
      <c r="H12" s="8">
        <v>2.6</v>
      </c>
      <c r="I12" s="8" t="s">
        <v>21</v>
      </c>
    </row>
    <row r="13" spans="1:9" ht="12.5">
      <c r="A13" s="20">
        <v>2283464</v>
      </c>
      <c r="B13" s="9" t="s">
        <v>12</v>
      </c>
      <c r="C13" s="9" t="s">
        <v>13</v>
      </c>
      <c r="D13" s="9" t="s">
        <v>2326</v>
      </c>
      <c r="E13" s="9" t="s">
        <v>2327</v>
      </c>
      <c r="F13" s="9" t="s">
        <v>2313</v>
      </c>
      <c r="G13" s="8">
        <v>4.5999999999999996</v>
      </c>
      <c r="H13" s="8">
        <v>3.1</v>
      </c>
      <c r="I13" s="8" t="s">
        <v>17</v>
      </c>
    </row>
    <row r="14" spans="1:9" ht="12.5">
      <c r="A14" s="20">
        <v>1967960</v>
      </c>
      <c r="B14" s="9" t="s">
        <v>12</v>
      </c>
      <c r="C14" s="9" t="s">
        <v>13</v>
      </c>
      <c r="D14" s="9" t="s">
        <v>2328</v>
      </c>
      <c r="E14" s="9" t="s">
        <v>2329</v>
      </c>
      <c r="F14" s="9" t="s">
        <v>2307</v>
      </c>
      <c r="G14" s="8">
        <v>4.6100000000000003</v>
      </c>
      <c r="H14" s="8">
        <v>2.7</v>
      </c>
      <c r="I14" s="8" t="s">
        <v>72</v>
      </c>
    </row>
    <row r="15" spans="1:9" ht="12.5">
      <c r="A15" s="20">
        <v>3392762</v>
      </c>
      <c r="B15" s="9" t="s">
        <v>12</v>
      </c>
      <c r="C15" s="9" t="s">
        <v>13</v>
      </c>
      <c r="D15" s="9" t="s">
        <v>2330</v>
      </c>
      <c r="E15" s="9" t="s">
        <v>2331</v>
      </c>
      <c r="F15" s="9" t="s">
        <v>2318</v>
      </c>
      <c r="G15" s="8">
        <v>4.5199999999999996</v>
      </c>
      <c r="H15" s="8">
        <v>12.7</v>
      </c>
      <c r="I15" s="8" t="s">
        <v>17</v>
      </c>
    </row>
    <row r="16" spans="1:9" ht="12.5">
      <c r="A16" s="20">
        <v>1205540</v>
      </c>
      <c r="B16" s="9" t="s">
        <v>12</v>
      </c>
      <c r="C16" s="9" t="s">
        <v>13</v>
      </c>
      <c r="D16" s="9" t="s">
        <v>2332</v>
      </c>
      <c r="E16" s="9" t="s">
        <v>2333</v>
      </c>
      <c r="F16" s="9" t="s">
        <v>2310</v>
      </c>
      <c r="G16" s="8">
        <v>4.82</v>
      </c>
      <c r="H16" s="8">
        <v>1.4</v>
      </c>
      <c r="I16" s="8" t="s">
        <v>17</v>
      </c>
    </row>
    <row r="17" spans="1:9" ht="12.5">
      <c r="A17" s="20">
        <v>1995622</v>
      </c>
      <c r="B17" s="9" t="s">
        <v>31</v>
      </c>
      <c r="C17" s="9" t="s">
        <v>37</v>
      </c>
      <c r="D17" s="9" t="s">
        <v>2334</v>
      </c>
      <c r="E17" s="9" t="s">
        <v>2335</v>
      </c>
      <c r="F17" s="9" t="s">
        <v>2336</v>
      </c>
      <c r="G17" s="8">
        <v>4.58</v>
      </c>
      <c r="H17" s="8">
        <v>9.6</v>
      </c>
      <c r="I17" s="8" t="s">
        <v>21</v>
      </c>
    </row>
    <row r="18" spans="1:9" ht="12.5">
      <c r="A18" s="20">
        <v>860444</v>
      </c>
      <c r="B18" s="9" t="s">
        <v>31</v>
      </c>
      <c r="C18" s="9" t="s">
        <v>37</v>
      </c>
      <c r="D18" s="9" t="s">
        <v>2337</v>
      </c>
      <c r="E18" s="9" t="s">
        <v>2338</v>
      </c>
      <c r="F18" s="9" t="s">
        <v>2339</v>
      </c>
      <c r="G18" s="8">
        <v>4.62</v>
      </c>
      <c r="H18" s="8">
        <v>58.2</v>
      </c>
      <c r="I18" s="8" t="s">
        <v>17</v>
      </c>
    </row>
    <row r="19" spans="1:9" ht="12.5">
      <c r="A19" s="20">
        <v>2713626</v>
      </c>
      <c r="B19" s="9" t="s">
        <v>31</v>
      </c>
      <c r="C19" s="9" t="s">
        <v>44</v>
      </c>
      <c r="D19" s="9" t="s">
        <v>2340</v>
      </c>
      <c r="E19" s="9" t="s">
        <v>2341</v>
      </c>
      <c r="F19" s="9" t="s">
        <v>2342</v>
      </c>
      <c r="G19" s="8">
        <v>4.4000000000000004</v>
      </c>
      <c r="H19" s="8">
        <v>2</v>
      </c>
      <c r="I19" s="8" t="s">
        <v>17</v>
      </c>
    </row>
    <row r="20" spans="1:9" ht="12.5">
      <c r="A20" s="20">
        <v>669012</v>
      </c>
      <c r="B20" s="9" t="s">
        <v>31</v>
      </c>
      <c r="C20" s="9" t="s">
        <v>37</v>
      </c>
      <c r="D20" s="9" t="s">
        <v>2343</v>
      </c>
      <c r="E20" s="9" t="s">
        <v>2344</v>
      </c>
      <c r="F20" s="9" t="s">
        <v>2345</v>
      </c>
      <c r="G20" s="8">
        <v>4.49</v>
      </c>
      <c r="H20" s="8">
        <v>7.3</v>
      </c>
      <c r="I20" s="8" t="s">
        <v>17</v>
      </c>
    </row>
    <row r="21" spans="1:9" ht="12.5">
      <c r="A21" s="20">
        <v>2371246</v>
      </c>
      <c r="B21" s="9" t="s">
        <v>31</v>
      </c>
      <c r="C21" s="9" t="s">
        <v>44</v>
      </c>
      <c r="D21" s="9" t="s">
        <v>2346</v>
      </c>
      <c r="E21" s="9" t="s">
        <v>2347</v>
      </c>
      <c r="F21" s="9" t="s">
        <v>2348</v>
      </c>
      <c r="G21" s="8">
        <v>4.57</v>
      </c>
      <c r="H21" s="8">
        <v>19.899999999999999</v>
      </c>
      <c r="I21" s="8" t="s">
        <v>21</v>
      </c>
    </row>
    <row r="22" spans="1:9" ht="12.5">
      <c r="A22" s="20">
        <v>1225734</v>
      </c>
      <c r="B22" s="9" t="s">
        <v>31</v>
      </c>
      <c r="C22" s="9" t="s">
        <v>37</v>
      </c>
      <c r="D22" s="9" t="s">
        <v>2349</v>
      </c>
      <c r="E22" s="9" t="s">
        <v>2350</v>
      </c>
      <c r="F22" s="9" t="s">
        <v>2348</v>
      </c>
      <c r="G22" s="8">
        <v>4.6100000000000003</v>
      </c>
      <c r="H22" s="8">
        <v>41.3</v>
      </c>
      <c r="I22" s="8" t="s">
        <v>21</v>
      </c>
    </row>
    <row r="23" spans="1:9" ht="12.5">
      <c r="A23" s="20">
        <v>1419916</v>
      </c>
      <c r="B23" s="9" t="s">
        <v>31</v>
      </c>
      <c r="C23" s="9" t="s">
        <v>32</v>
      </c>
      <c r="D23" s="9" t="s">
        <v>2351</v>
      </c>
      <c r="E23" s="9" t="s">
        <v>2351</v>
      </c>
      <c r="F23" s="9" t="s">
        <v>2352</v>
      </c>
      <c r="G23" s="8">
        <v>4.58</v>
      </c>
      <c r="H23" s="8">
        <v>29.8</v>
      </c>
      <c r="I23" s="8" t="s">
        <v>21</v>
      </c>
    </row>
    <row r="24" spans="1:9" ht="12.5">
      <c r="A24" s="20">
        <v>2467412</v>
      </c>
      <c r="B24" s="9" t="s">
        <v>31</v>
      </c>
      <c r="C24" s="9" t="s">
        <v>93</v>
      </c>
      <c r="D24" s="9" t="s">
        <v>2353</v>
      </c>
      <c r="E24" s="9" t="s">
        <v>2354</v>
      </c>
      <c r="F24" s="9" t="s">
        <v>2339</v>
      </c>
      <c r="G24" s="8">
        <v>4.62</v>
      </c>
      <c r="H24" s="8">
        <v>20.5</v>
      </c>
      <c r="I24" s="8" t="s">
        <v>21</v>
      </c>
    </row>
    <row r="25" spans="1:9" ht="12.5">
      <c r="A25" s="20">
        <v>2221810</v>
      </c>
      <c r="B25" s="9" t="s">
        <v>31</v>
      </c>
      <c r="C25" s="9" t="s">
        <v>93</v>
      </c>
      <c r="D25" s="9" t="s">
        <v>2355</v>
      </c>
      <c r="E25" s="9" t="s">
        <v>2355</v>
      </c>
      <c r="F25" s="9" t="s">
        <v>2356</v>
      </c>
      <c r="G25" s="8">
        <v>4.75</v>
      </c>
      <c r="H25" s="8">
        <v>3.2</v>
      </c>
      <c r="I25" s="8" t="s">
        <v>17</v>
      </c>
    </row>
    <row r="26" spans="1:9" ht="12.5">
      <c r="A26" s="20">
        <v>2678116</v>
      </c>
      <c r="B26" s="9" t="s">
        <v>31</v>
      </c>
      <c r="C26" s="9" t="s">
        <v>37</v>
      </c>
      <c r="D26" s="9" t="s">
        <v>2357</v>
      </c>
      <c r="E26" s="9" t="s">
        <v>2358</v>
      </c>
      <c r="F26" s="9" t="s">
        <v>2359</v>
      </c>
      <c r="G26" s="8">
        <v>4.8</v>
      </c>
      <c r="H26" s="8">
        <v>22</v>
      </c>
      <c r="I26" s="8" t="s">
        <v>21</v>
      </c>
    </row>
    <row r="27" spans="1:9" ht="12.5">
      <c r="A27" s="20">
        <v>1491672</v>
      </c>
      <c r="B27" s="9" t="s">
        <v>31</v>
      </c>
      <c r="C27" s="9" t="s">
        <v>37</v>
      </c>
      <c r="D27" s="9" t="s">
        <v>2360</v>
      </c>
      <c r="E27" s="9" t="s">
        <v>2361</v>
      </c>
      <c r="F27" s="9" t="s">
        <v>2362</v>
      </c>
      <c r="G27" s="8">
        <v>4.84</v>
      </c>
      <c r="H27" s="8">
        <v>15.4</v>
      </c>
      <c r="I27" s="8" t="s">
        <v>259</v>
      </c>
    </row>
    <row r="28" spans="1:9" ht="12.5">
      <c r="A28" s="20">
        <v>1823164</v>
      </c>
      <c r="B28" s="9" t="s">
        <v>31</v>
      </c>
      <c r="C28" s="9" t="s">
        <v>93</v>
      </c>
      <c r="D28" s="9" t="s">
        <v>2363</v>
      </c>
      <c r="E28" s="9" t="s">
        <v>2364</v>
      </c>
      <c r="F28" s="9" t="s">
        <v>2365</v>
      </c>
      <c r="G28" s="8">
        <v>4.29</v>
      </c>
      <c r="H28" s="8">
        <v>9</v>
      </c>
      <c r="I28" s="8" t="s">
        <v>17</v>
      </c>
    </row>
    <row r="29" spans="1:9" ht="12.5">
      <c r="A29" s="20">
        <v>2354218</v>
      </c>
      <c r="B29" s="9" t="s">
        <v>31</v>
      </c>
      <c r="C29" s="9" t="s">
        <v>37</v>
      </c>
      <c r="D29" s="9" t="s">
        <v>2366</v>
      </c>
      <c r="E29" s="9" t="s">
        <v>2367</v>
      </c>
      <c r="F29" s="9" t="s">
        <v>2368</v>
      </c>
      <c r="G29" s="8">
        <v>4.6100000000000003</v>
      </c>
      <c r="H29" s="8">
        <v>5.8</v>
      </c>
      <c r="I29" s="8" t="s">
        <v>72</v>
      </c>
    </row>
    <row r="30" spans="1:9" ht="12.5">
      <c r="A30" s="20">
        <v>2652978</v>
      </c>
      <c r="B30" s="9" t="s">
        <v>31</v>
      </c>
      <c r="C30" s="9" t="s">
        <v>37</v>
      </c>
      <c r="D30" s="9" t="s">
        <v>2369</v>
      </c>
      <c r="E30" s="9" t="s">
        <v>2370</v>
      </c>
      <c r="F30" s="9" t="s">
        <v>2371</v>
      </c>
      <c r="G30" s="8">
        <v>4.5999999999999996</v>
      </c>
      <c r="H30" s="8">
        <v>18.899999999999999</v>
      </c>
      <c r="I30" s="8" t="s">
        <v>21</v>
      </c>
    </row>
    <row r="31" spans="1:9" ht="12.5">
      <c r="A31" s="20">
        <v>3492690</v>
      </c>
      <c r="B31" s="9" t="s">
        <v>31</v>
      </c>
      <c r="C31" s="9" t="s">
        <v>1161</v>
      </c>
      <c r="D31" s="9" t="s">
        <v>2372</v>
      </c>
      <c r="E31" s="9" t="s">
        <v>2373</v>
      </c>
      <c r="F31" s="9" t="s">
        <v>2352</v>
      </c>
      <c r="G31" s="8">
        <v>4.63</v>
      </c>
      <c r="H31" s="8">
        <v>20.6</v>
      </c>
      <c r="I31" s="8" t="s">
        <v>21</v>
      </c>
    </row>
    <row r="32" spans="1:9" ht="12.5">
      <c r="A32" s="20">
        <v>2184938</v>
      </c>
      <c r="B32" s="9" t="s">
        <v>31</v>
      </c>
      <c r="C32" s="9" t="s">
        <v>93</v>
      </c>
      <c r="D32" s="9" t="s">
        <v>2374</v>
      </c>
      <c r="E32" s="9" t="s">
        <v>2375</v>
      </c>
      <c r="F32" s="9" t="s">
        <v>2371</v>
      </c>
      <c r="G32" s="8">
        <v>4.58</v>
      </c>
      <c r="H32" s="8">
        <v>14.3</v>
      </c>
      <c r="I32" s="8" t="s">
        <v>21</v>
      </c>
    </row>
    <row r="33" spans="1:9" ht="12.5">
      <c r="A33" s="20">
        <v>631622</v>
      </c>
      <c r="B33" s="9" t="s">
        <v>31</v>
      </c>
      <c r="C33" s="9" t="s">
        <v>37</v>
      </c>
      <c r="D33" s="9" t="s">
        <v>2376</v>
      </c>
      <c r="E33" s="9" t="s">
        <v>2377</v>
      </c>
      <c r="F33" s="9" t="s">
        <v>2378</v>
      </c>
      <c r="G33" s="8">
        <v>4.3899999999999997</v>
      </c>
      <c r="H33" s="8">
        <v>4</v>
      </c>
      <c r="I33" s="8" t="s">
        <v>17</v>
      </c>
    </row>
    <row r="34" spans="1:9" ht="12.5">
      <c r="A34" s="20">
        <v>1694340</v>
      </c>
      <c r="B34" s="9" t="s">
        <v>31</v>
      </c>
      <c r="C34" s="9" t="s">
        <v>37</v>
      </c>
      <c r="D34" s="9" t="s">
        <v>2379</v>
      </c>
      <c r="E34" s="9" t="s">
        <v>2380</v>
      </c>
      <c r="F34" s="9" t="s">
        <v>2339</v>
      </c>
      <c r="G34" s="8">
        <v>4.6100000000000003</v>
      </c>
      <c r="H34" s="8">
        <v>26.5</v>
      </c>
      <c r="I34" s="8" t="s">
        <v>17</v>
      </c>
    </row>
    <row r="35" spans="1:9" ht="12.5">
      <c r="A35" s="20">
        <v>1350462</v>
      </c>
      <c r="B35" s="9" t="s">
        <v>31</v>
      </c>
      <c r="C35" s="9" t="s">
        <v>37</v>
      </c>
      <c r="D35" s="9" t="s">
        <v>2381</v>
      </c>
      <c r="E35" s="9" t="s">
        <v>2382</v>
      </c>
      <c r="F35" s="9" t="s">
        <v>2348</v>
      </c>
      <c r="G35" s="8">
        <v>4.3600000000000003</v>
      </c>
      <c r="H35" s="8">
        <v>8.1</v>
      </c>
      <c r="I35" s="8" t="s">
        <v>21</v>
      </c>
    </row>
    <row r="36" spans="1:9" ht="12.5">
      <c r="A36" s="20">
        <v>2016712</v>
      </c>
      <c r="B36" s="9" t="s">
        <v>31</v>
      </c>
      <c r="C36" s="9" t="s">
        <v>37</v>
      </c>
      <c r="D36" s="9" t="s">
        <v>2383</v>
      </c>
      <c r="E36" s="9" t="s">
        <v>2384</v>
      </c>
      <c r="F36" s="9" t="s">
        <v>2385</v>
      </c>
      <c r="G36" s="8">
        <v>4.8</v>
      </c>
      <c r="H36" s="8">
        <v>20.2</v>
      </c>
      <c r="I36" s="8" t="s">
        <v>17</v>
      </c>
    </row>
    <row r="37" spans="1:9" ht="12.5">
      <c r="A37" s="20">
        <v>2555071</v>
      </c>
      <c r="B37" s="9" t="s">
        <v>31</v>
      </c>
      <c r="C37" s="9" t="s">
        <v>93</v>
      </c>
      <c r="D37" s="9" t="s">
        <v>2386</v>
      </c>
      <c r="E37" s="9" t="s">
        <v>2387</v>
      </c>
      <c r="F37" s="9" t="s">
        <v>2388</v>
      </c>
      <c r="G37" s="8">
        <v>4.47</v>
      </c>
      <c r="H37" s="8">
        <v>8.3000000000000007</v>
      </c>
      <c r="I37" s="8" t="s">
        <v>21</v>
      </c>
    </row>
    <row r="38" spans="1:9" ht="12.5">
      <c r="A38" s="20">
        <v>3427722</v>
      </c>
      <c r="B38" s="9" t="s">
        <v>31</v>
      </c>
      <c r="C38" s="9" t="s">
        <v>32</v>
      </c>
      <c r="D38" s="9" t="s">
        <v>2389</v>
      </c>
      <c r="E38" s="9" t="s">
        <v>2390</v>
      </c>
      <c r="F38" s="9" t="s">
        <v>2352</v>
      </c>
      <c r="G38" s="8">
        <v>4.7</v>
      </c>
      <c r="H38" s="8">
        <v>25.2</v>
      </c>
      <c r="I38" s="8" t="s">
        <v>21</v>
      </c>
    </row>
    <row r="39" spans="1:9" ht="12.5">
      <c r="A39" s="20">
        <v>2643066</v>
      </c>
      <c r="B39" s="9" t="s">
        <v>31</v>
      </c>
      <c r="C39" s="9" t="s">
        <v>37</v>
      </c>
      <c r="D39" s="9" t="s">
        <v>2391</v>
      </c>
      <c r="E39" s="9" t="s">
        <v>2392</v>
      </c>
      <c r="F39" s="9" t="s">
        <v>1156</v>
      </c>
      <c r="G39" s="8">
        <v>4.45</v>
      </c>
      <c r="H39" s="8">
        <v>16.3</v>
      </c>
      <c r="I39" s="8" t="s">
        <v>21</v>
      </c>
    </row>
    <row r="40" spans="1:9" ht="12.5">
      <c r="A40" s="20">
        <v>1232364</v>
      </c>
      <c r="B40" s="9" t="s">
        <v>31</v>
      </c>
      <c r="C40" s="9" t="s">
        <v>37</v>
      </c>
      <c r="D40" s="9" t="s">
        <v>2393</v>
      </c>
      <c r="E40" s="9" t="s">
        <v>2394</v>
      </c>
      <c r="F40" s="9" t="s">
        <v>2395</v>
      </c>
      <c r="G40" s="8">
        <v>4.58</v>
      </c>
      <c r="H40" s="8">
        <v>7.5</v>
      </c>
      <c r="I40" s="8" t="s">
        <v>21</v>
      </c>
    </row>
    <row r="41" spans="1:9" ht="12.5">
      <c r="A41" s="20">
        <v>1334248</v>
      </c>
      <c r="B41" s="9" t="s">
        <v>31</v>
      </c>
      <c r="C41" s="9" t="s">
        <v>32</v>
      </c>
      <c r="D41" s="9" t="s">
        <v>2396</v>
      </c>
      <c r="E41" s="9" t="s">
        <v>2397</v>
      </c>
      <c r="F41" s="9" t="s">
        <v>2348</v>
      </c>
      <c r="G41" s="8">
        <v>4.57</v>
      </c>
      <c r="H41" s="8">
        <v>23</v>
      </c>
      <c r="I41" s="8" t="s">
        <v>21</v>
      </c>
    </row>
    <row r="42" spans="1:9" ht="12.5">
      <c r="A42" s="20">
        <v>1732564</v>
      </c>
      <c r="B42" s="9" t="s">
        <v>31</v>
      </c>
      <c r="C42" s="9" t="s">
        <v>32</v>
      </c>
      <c r="D42" s="9" t="s">
        <v>2398</v>
      </c>
      <c r="E42" s="9" t="s">
        <v>2399</v>
      </c>
      <c r="F42" s="9" t="s">
        <v>2352</v>
      </c>
      <c r="G42" s="8">
        <v>4.58</v>
      </c>
      <c r="H42" s="8">
        <v>20.100000000000001</v>
      </c>
      <c r="I42" s="8" t="s">
        <v>21</v>
      </c>
    </row>
    <row r="43" spans="1:9" ht="12.5">
      <c r="A43" s="20">
        <v>2531236</v>
      </c>
      <c r="B43" s="9" t="s">
        <v>31</v>
      </c>
      <c r="C43" s="9" t="s">
        <v>1161</v>
      </c>
      <c r="D43" s="9" t="s">
        <v>2400</v>
      </c>
      <c r="E43" s="9" t="s">
        <v>2401</v>
      </c>
      <c r="F43" s="9" t="s">
        <v>2402</v>
      </c>
      <c r="G43" s="8">
        <v>4.59</v>
      </c>
      <c r="H43" s="8">
        <v>20.7</v>
      </c>
      <c r="I43" s="8" t="s">
        <v>21</v>
      </c>
    </row>
    <row r="44" spans="1:9" ht="12.5">
      <c r="A44" s="20">
        <v>2957296</v>
      </c>
      <c r="B44" s="9" t="s">
        <v>31</v>
      </c>
      <c r="C44" s="9" t="s">
        <v>37</v>
      </c>
      <c r="D44" s="9" t="s">
        <v>2403</v>
      </c>
      <c r="E44" s="9" t="s">
        <v>2404</v>
      </c>
      <c r="F44" s="9" t="s">
        <v>2348</v>
      </c>
      <c r="G44" s="8">
        <v>4.66</v>
      </c>
      <c r="H44" s="8">
        <v>3.6</v>
      </c>
      <c r="I44" s="8" t="s">
        <v>21</v>
      </c>
    </row>
    <row r="45" spans="1:9" ht="12.5">
      <c r="A45" s="20">
        <v>1538070</v>
      </c>
      <c r="B45" s="9" t="s">
        <v>31</v>
      </c>
      <c r="C45" s="9" t="s">
        <v>37</v>
      </c>
      <c r="D45" s="9" t="s">
        <v>2405</v>
      </c>
      <c r="E45" s="9" t="s">
        <v>2406</v>
      </c>
      <c r="F45" s="9" t="s">
        <v>2407</v>
      </c>
      <c r="G45" s="8">
        <v>4.79</v>
      </c>
      <c r="H45" s="8">
        <v>4.9000000000000004</v>
      </c>
      <c r="I45" s="8" t="s">
        <v>17</v>
      </c>
    </row>
    <row r="46" spans="1:9" ht="12.5">
      <c r="A46" s="20">
        <v>1929786</v>
      </c>
      <c r="B46" s="9" t="s">
        <v>31</v>
      </c>
      <c r="C46" s="9" t="s">
        <v>32</v>
      </c>
      <c r="D46" s="9" t="s">
        <v>2408</v>
      </c>
      <c r="E46" s="9" t="s">
        <v>2409</v>
      </c>
      <c r="F46" s="9" t="s">
        <v>2410</v>
      </c>
      <c r="G46" s="8">
        <v>4.8099999999999996</v>
      </c>
      <c r="H46" s="8">
        <v>13.7</v>
      </c>
      <c r="I46" s="8" t="s">
        <v>21</v>
      </c>
    </row>
    <row r="47" spans="1:9" ht="12.5">
      <c r="A47" s="20">
        <v>2465816</v>
      </c>
      <c r="B47" s="9" t="s">
        <v>31</v>
      </c>
      <c r="C47" s="9" t="s">
        <v>1161</v>
      </c>
      <c r="D47" s="9" t="s">
        <v>2411</v>
      </c>
      <c r="E47" s="9" t="s">
        <v>2412</v>
      </c>
      <c r="F47" s="9" t="s">
        <v>2368</v>
      </c>
      <c r="G47" s="8">
        <v>4.57</v>
      </c>
      <c r="H47" s="8">
        <v>7.7</v>
      </c>
      <c r="I47" s="8" t="s">
        <v>21</v>
      </c>
    </row>
    <row r="48" spans="1:9" ht="12.5">
      <c r="A48" s="20">
        <v>1349908</v>
      </c>
      <c r="B48" s="9" t="s">
        <v>31</v>
      </c>
      <c r="C48" s="9" t="s">
        <v>44</v>
      </c>
      <c r="D48" s="9" t="s">
        <v>2413</v>
      </c>
      <c r="E48" s="9" t="s">
        <v>2414</v>
      </c>
      <c r="F48" s="9" t="s">
        <v>2352</v>
      </c>
      <c r="G48" s="8">
        <v>4.53</v>
      </c>
      <c r="H48" s="8">
        <v>8.1999999999999993</v>
      </c>
      <c r="I48" s="8" t="s">
        <v>17</v>
      </c>
    </row>
    <row r="49" spans="1:9" ht="12.5">
      <c r="A49" s="20">
        <v>2231456</v>
      </c>
      <c r="B49" s="9" t="s">
        <v>31</v>
      </c>
      <c r="C49" s="9" t="s">
        <v>44</v>
      </c>
      <c r="D49" s="9" t="s">
        <v>2415</v>
      </c>
      <c r="E49" s="9" t="s">
        <v>2416</v>
      </c>
      <c r="F49" s="9" t="s">
        <v>2395</v>
      </c>
      <c r="G49" s="8">
        <v>4.1100000000000003</v>
      </c>
      <c r="H49" s="8">
        <v>5.3</v>
      </c>
      <c r="I49" s="8" t="s">
        <v>21</v>
      </c>
    </row>
    <row r="50" spans="1:9" ht="12.5">
      <c r="A50" s="20">
        <v>2760612</v>
      </c>
      <c r="B50" s="9" t="s">
        <v>31</v>
      </c>
      <c r="C50" s="9" t="s">
        <v>1161</v>
      </c>
      <c r="D50" s="9" t="s">
        <v>2417</v>
      </c>
      <c r="E50" s="9" t="s">
        <v>2418</v>
      </c>
      <c r="F50" s="9" t="s">
        <v>2385</v>
      </c>
      <c r="G50" s="8">
        <v>4.5999999999999996</v>
      </c>
      <c r="H50" s="8">
        <v>31.1</v>
      </c>
      <c r="I50" s="8" t="s">
        <v>21</v>
      </c>
    </row>
    <row r="51" spans="1:9" ht="12.5">
      <c r="A51" s="20">
        <v>2848666</v>
      </c>
      <c r="B51" s="9" t="s">
        <v>31</v>
      </c>
      <c r="C51" s="9" t="s">
        <v>32</v>
      </c>
      <c r="D51" s="9" t="s">
        <v>2419</v>
      </c>
      <c r="E51" s="9" t="s">
        <v>2420</v>
      </c>
      <c r="F51" s="9" t="s">
        <v>2352</v>
      </c>
      <c r="G51" s="8">
        <v>4.66</v>
      </c>
      <c r="H51" s="8">
        <v>3.4</v>
      </c>
      <c r="I51" s="8" t="s">
        <v>17</v>
      </c>
    </row>
    <row r="52" spans="1:9" ht="12.5">
      <c r="A52" s="20">
        <v>2323718</v>
      </c>
      <c r="B52" s="9" t="s">
        <v>31</v>
      </c>
      <c r="C52" s="9" t="s">
        <v>44</v>
      </c>
      <c r="D52" s="9" t="s">
        <v>2421</v>
      </c>
      <c r="E52" s="9" t="s">
        <v>2422</v>
      </c>
      <c r="F52" s="9" t="s">
        <v>2348</v>
      </c>
      <c r="G52" s="8">
        <v>4.66</v>
      </c>
      <c r="H52" s="8">
        <v>5.3</v>
      </c>
      <c r="I52" s="8" t="s">
        <v>21</v>
      </c>
    </row>
    <row r="53" spans="1:9" ht="12.5">
      <c r="A53" s="20">
        <v>3315574</v>
      </c>
      <c r="B53" s="9" t="s">
        <v>31</v>
      </c>
      <c r="C53" s="9" t="s">
        <v>37</v>
      </c>
      <c r="D53" s="9" t="s">
        <v>2423</v>
      </c>
      <c r="E53" s="9" t="s">
        <v>2424</v>
      </c>
      <c r="F53" s="9" t="s">
        <v>2348</v>
      </c>
      <c r="G53" s="8">
        <v>4.75</v>
      </c>
      <c r="H53" s="8">
        <v>6.5</v>
      </c>
      <c r="I53" s="8" t="s">
        <v>17</v>
      </c>
    </row>
    <row r="54" spans="1:9" ht="12.5">
      <c r="A54" s="20">
        <v>3550890</v>
      </c>
      <c r="B54" s="9" t="s">
        <v>31</v>
      </c>
      <c r="C54" s="9" t="s">
        <v>32</v>
      </c>
      <c r="D54" s="9" t="s">
        <v>2425</v>
      </c>
      <c r="E54" s="9" t="s">
        <v>2426</v>
      </c>
      <c r="F54" s="9" t="s">
        <v>2352</v>
      </c>
      <c r="G54" s="8">
        <v>4.8099999999999996</v>
      </c>
      <c r="H54" s="8">
        <v>9.4</v>
      </c>
      <c r="I54" s="8" t="s">
        <v>21</v>
      </c>
    </row>
    <row r="55" spans="1:9" ht="12.5">
      <c r="A55" s="20">
        <v>1070302</v>
      </c>
      <c r="B55" s="9" t="s">
        <v>31</v>
      </c>
      <c r="C55" s="9" t="s">
        <v>1161</v>
      </c>
      <c r="D55" s="9" t="s">
        <v>2427</v>
      </c>
      <c r="E55" s="9" t="s">
        <v>2428</v>
      </c>
      <c r="F55" s="9" t="s">
        <v>2429</v>
      </c>
      <c r="G55" s="8">
        <v>4.55</v>
      </c>
      <c r="H55" s="8">
        <v>12.7</v>
      </c>
      <c r="I55" s="8" t="s">
        <v>17</v>
      </c>
    </row>
    <row r="56" spans="1:9" ht="12.5">
      <c r="A56" s="20">
        <v>1443670</v>
      </c>
      <c r="B56" s="9" t="s">
        <v>31</v>
      </c>
      <c r="C56" s="9" t="s">
        <v>32</v>
      </c>
      <c r="D56" s="9" t="s">
        <v>2430</v>
      </c>
      <c r="E56" s="9" t="s">
        <v>2430</v>
      </c>
      <c r="F56" s="9" t="s">
        <v>2352</v>
      </c>
      <c r="G56" s="8">
        <v>4.6399999999999997</v>
      </c>
      <c r="H56" s="8">
        <v>27.7</v>
      </c>
      <c r="I56" s="8" t="s">
        <v>21</v>
      </c>
    </row>
    <row r="57" spans="1:9" ht="12.5">
      <c r="A57" s="20">
        <v>1756044</v>
      </c>
      <c r="B57" s="9" t="s">
        <v>31</v>
      </c>
      <c r="C57" s="9" t="s">
        <v>32</v>
      </c>
      <c r="D57" s="9" t="s">
        <v>2431</v>
      </c>
      <c r="E57" s="9" t="s">
        <v>2431</v>
      </c>
      <c r="F57" s="9" t="s">
        <v>2362</v>
      </c>
      <c r="G57" s="8">
        <v>4.5</v>
      </c>
      <c r="H57" s="8">
        <v>7.7</v>
      </c>
      <c r="I57" s="8" t="s">
        <v>17</v>
      </c>
    </row>
    <row r="58" spans="1:9" ht="12.5">
      <c r="A58" s="20">
        <v>1989332</v>
      </c>
      <c r="B58" s="9" t="s">
        <v>31</v>
      </c>
      <c r="C58" s="9" t="s">
        <v>32</v>
      </c>
      <c r="D58" s="9" t="s">
        <v>2432</v>
      </c>
      <c r="E58" s="9" t="s">
        <v>2432</v>
      </c>
      <c r="F58" s="9" t="s">
        <v>2352</v>
      </c>
      <c r="G58" s="8">
        <v>4.66</v>
      </c>
      <c r="H58" s="8">
        <v>18.8</v>
      </c>
      <c r="I58" s="8" t="s">
        <v>21</v>
      </c>
    </row>
    <row r="59" spans="1:9" ht="12.5">
      <c r="A59" s="20">
        <v>2035962</v>
      </c>
      <c r="B59" s="9" t="s">
        <v>31</v>
      </c>
      <c r="C59" s="9" t="s">
        <v>37</v>
      </c>
      <c r="D59" s="9" t="s">
        <v>2433</v>
      </c>
      <c r="E59" s="9" t="s">
        <v>2434</v>
      </c>
      <c r="F59" s="9" t="s">
        <v>2368</v>
      </c>
      <c r="G59" s="8">
        <v>4.2</v>
      </c>
      <c r="H59" s="8">
        <v>8.4</v>
      </c>
      <c r="I59" s="8" t="s">
        <v>72</v>
      </c>
    </row>
    <row r="60" spans="1:9" ht="12.5">
      <c r="A60" s="20">
        <v>2518080</v>
      </c>
      <c r="B60" s="9" t="s">
        <v>31</v>
      </c>
      <c r="C60" s="9" t="s">
        <v>32</v>
      </c>
      <c r="D60" s="9" t="s">
        <v>2435</v>
      </c>
      <c r="E60" s="9" t="s">
        <v>2436</v>
      </c>
      <c r="F60" s="9" t="s">
        <v>2437</v>
      </c>
      <c r="G60" s="8">
        <v>4.3600000000000003</v>
      </c>
      <c r="H60" s="8">
        <v>12.3</v>
      </c>
      <c r="I60" s="8" t="s">
        <v>21</v>
      </c>
    </row>
    <row r="61" spans="1:9" ht="12.5">
      <c r="A61" s="20">
        <v>1105678</v>
      </c>
      <c r="B61" s="9" t="s">
        <v>31</v>
      </c>
      <c r="C61" s="9" t="s">
        <v>37</v>
      </c>
      <c r="D61" s="9" t="s">
        <v>2438</v>
      </c>
      <c r="E61" s="9" t="s">
        <v>2439</v>
      </c>
      <c r="F61" s="9" t="s">
        <v>2440</v>
      </c>
      <c r="G61" s="8">
        <v>4.3600000000000003</v>
      </c>
      <c r="H61" s="8">
        <v>12.2</v>
      </c>
      <c r="I61" s="8" t="s">
        <v>21</v>
      </c>
    </row>
    <row r="62" spans="1:9" ht="12.5">
      <c r="A62" s="20">
        <v>1149316</v>
      </c>
      <c r="B62" s="9" t="s">
        <v>31</v>
      </c>
      <c r="C62" s="9" t="s">
        <v>32</v>
      </c>
      <c r="D62" s="9" t="s">
        <v>2441</v>
      </c>
      <c r="E62" s="9" t="s">
        <v>2442</v>
      </c>
      <c r="F62" s="9" t="s">
        <v>2352</v>
      </c>
      <c r="G62" s="8">
        <v>4.8</v>
      </c>
      <c r="H62" s="8">
        <v>27.8</v>
      </c>
      <c r="I62" s="8" t="s">
        <v>21</v>
      </c>
    </row>
    <row r="63" spans="1:9" ht="12.5">
      <c r="A63" s="20">
        <v>1401762</v>
      </c>
      <c r="B63" s="9" t="s">
        <v>31</v>
      </c>
      <c r="C63" s="9" t="s">
        <v>32</v>
      </c>
      <c r="D63" s="9" t="s">
        <v>2443</v>
      </c>
      <c r="E63" s="9" t="s">
        <v>2444</v>
      </c>
      <c r="F63" s="9" t="s">
        <v>2352</v>
      </c>
      <c r="G63" s="8">
        <v>4.72</v>
      </c>
      <c r="H63" s="8">
        <v>3.5</v>
      </c>
      <c r="I63" s="8" t="s">
        <v>21</v>
      </c>
    </row>
    <row r="64" spans="1:9" ht="12.5">
      <c r="A64" s="20">
        <v>1880066</v>
      </c>
      <c r="B64" s="9" t="s">
        <v>31</v>
      </c>
      <c r="C64" s="9" t="s">
        <v>32</v>
      </c>
      <c r="D64" s="9" t="s">
        <v>2445</v>
      </c>
      <c r="E64" s="9" t="s">
        <v>2446</v>
      </c>
      <c r="F64" s="9" t="s">
        <v>2447</v>
      </c>
      <c r="G64" s="8">
        <v>4.72</v>
      </c>
      <c r="H64" s="8">
        <v>6.1</v>
      </c>
      <c r="I64" s="8" t="s">
        <v>17</v>
      </c>
    </row>
    <row r="65" spans="1:9" ht="12.5">
      <c r="A65" s="20">
        <v>2851826</v>
      </c>
      <c r="B65" s="9" t="s">
        <v>31</v>
      </c>
      <c r="C65" s="9" t="s">
        <v>32</v>
      </c>
      <c r="D65" s="9" t="s">
        <v>2448</v>
      </c>
      <c r="E65" s="9" t="s">
        <v>2449</v>
      </c>
      <c r="F65" s="9" t="s">
        <v>2352</v>
      </c>
      <c r="G65" s="8">
        <v>4.76</v>
      </c>
      <c r="H65" s="8">
        <v>3.2</v>
      </c>
      <c r="I65" s="8" t="s">
        <v>17</v>
      </c>
    </row>
    <row r="66" spans="1:9" ht="12.5">
      <c r="A66" s="20">
        <v>1944254</v>
      </c>
      <c r="B66" s="9" t="s">
        <v>31</v>
      </c>
      <c r="C66" s="9" t="s">
        <v>1161</v>
      </c>
      <c r="D66" s="9" t="s">
        <v>2450</v>
      </c>
      <c r="E66" s="9" t="s">
        <v>2451</v>
      </c>
      <c r="F66" s="9" t="s">
        <v>2452</v>
      </c>
      <c r="G66" s="8">
        <v>4.74</v>
      </c>
      <c r="H66" s="8">
        <v>3.1</v>
      </c>
      <c r="I66" s="8" t="s">
        <v>21</v>
      </c>
    </row>
    <row r="67" spans="1:9" ht="12.5">
      <c r="A67" s="20">
        <v>2328584</v>
      </c>
      <c r="B67" s="9" t="s">
        <v>31</v>
      </c>
      <c r="C67" s="9" t="s">
        <v>32</v>
      </c>
      <c r="D67" s="9" t="s">
        <v>2453</v>
      </c>
      <c r="E67" s="9" t="s">
        <v>2454</v>
      </c>
      <c r="F67" s="9" t="s">
        <v>2455</v>
      </c>
      <c r="G67" s="8">
        <v>4.43</v>
      </c>
      <c r="H67" s="8">
        <v>25.2</v>
      </c>
      <c r="I67" s="8" t="s">
        <v>21</v>
      </c>
    </row>
    <row r="68" spans="1:9" ht="12.5">
      <c r="A68" s="20">
        <v>2412884</v>
      </c>
      <c r="B68" s="9" t="s">
        <v>31</v>
      </c>
      <c r="C68" s="9" t="s">
        <v>32</v>
      </c>
      <c r="D68" s="9" t="s">
        <v>2456</v>
      </c>
      <c r="E68" s="9" t="s">
        <v>2457</v>
      </c>
      <c r="F68" s="9" t="s">
        <v>2458</v>
      </c>
      <c r="G68" s="8">
        <v>4.75</v>
      </c>
      <c r="H68" s="8">
        <v>11</v>
      </c>
      <c r="I68" s="8" t="s">
        <v>21</v>
      </c>
    </row>
    <row r="69" spans="1:9" ht="12.5">
      <c r="A69" s="20">
        <v>1146906</v>
      </c>
      <c r="B69" s="9" t="s">
        <v>31</v>
      </c>
      <c r="C69" s="9" t="s">
        <v>32</v>
      </c>
      <c r="D69" s="9" t="s">
        <v>2459</v>
      </c>
      <c r="E69" s="9" t="s">
        <v>2460</v>
      </c>
      <c r="F69" s="9" t="s">
        <v>2352</v>
      </c>
      <c r="G69" s="8">
        <v>4.43</v>
      </c>
      <c r="H69" s="8">
        <v>4.2</v>
      </c>
      <c r="I69" s="8" t="s">
        <v>17</v>
      </c>
    </row>
    <row r="70" spans="1:9" ht="12.5">
      <c r="A70" s="20">
        <v>1281960</v>
      </c>
      <c r="B70" s="9" t="s">
        <v>31</v>
      </c>
      <c r="C70" s="9" t="s">
        <v>32</v>
      </c>
      <c r="D70" s="9" t="s">
        <v>2461</v>
      </c>
      <c r="E70" s="9" t="s">
        <v>2462</v>
      </c>
      <c r="F70" s="9" t="s">
        <v>2352</v>
      </c>
      <c r="G70" s="8">
        <v>4.63</v>
      </c>
      <c r="H70" s="8">
        <v>3.2</v>
      </c>
      <c r="I70" s="8" t="s">
        <v>17</v>
      </c>
    </row>
    <row r="71" spans="1:9" ht="12.5">
      <c r="A71" s="20">
        <v>1823766</v>
      </c>
      <c r="B71" s="9" t="s">
        <v>31</v>
      </c>
      <c r="C71" s="9" t="s">
        <v>32</v>
      </c>
      <c r="D71" s="9" t="s">
        <v>2463</v>
      </c>
      <c r="E71" s="9" t="s">
        <v>2464</v>
      </c>
      <c r="F71" s="9" t="s">
        <v>2395</v>
      </c>
      <c r="G71" s="8">
        <v>4.75</v>
      </c>
      <c r="H71" s="8">
        <v>8.3000000000000007</v>
      </c>
      <c r="I71" s="8" t="s">
        <v>21</v>
      </c>
    </row>
    <row r="72" spans="1:9" ht="12.5">
      <c r="A72" s="20">
        <v>1951682</v>
      </c>
      <c r="B72" s="9" t="s">
        <v>31</v>
      </c>
      <c r="C72" s="9" t="s">
        <v>37</v>
      </c>
      <c r="D72" s="9" t="s">
        <v>2465</v>
      </c>
      <c r="E72" s="9" t="s">
        <v>2466</v>
      </c>
      <c r="F72" s="9" t="s">
        <v>2348</v>
      </c>
      <c r="G72" s="8">
        <v>5</v>
      </c>
      <c r="H72" s="8">
        <v>9.6999999999999993</v>
      </c>
      <c r="I72" s="8" t="s">
        <v>21</v>
      </c>
    </row>
    <row r="73" spans="1:9" ht="12.5">
      <c r="A73" s="20">
        <v>2789292</v>
      </c>
      <c r="B73" s="9" t="s">
        <v>31</v>
      </c>
      <c r="C73" s="9" t="s">
        <v>32</v>
      </c>
      <c r="D73" s="9" t="s">
        <v>2467</v>
      </c>
      <c r="E73" s="9" t="s">
        <v>2468</v>
      </c>
      <c r="F73" s="9" t="s">
        <v>2469</v>
      </c>
      <c r="G73" s="8">
        <v>4.95</v>
      </c>
      <c r="H73" s="8">
        <v>10.199999999999999</v>
      </c>
      <c r="I73" s="8" t="s">
        <v>72</v>
      </c>
    </row>
    <row r="74" spans="1:9" ht="12.5">
      <c r="A74" s="20">
        <v>2855586</v>
      </c>
      <c r="B74" s="9" t="s">
        <v>31</v>
      </c>
      <c r="C74" s="9" t="s">
        <v>32</v>
      </c>
      <c r="D74" s="9" t="s">
        <v>2470</v>
      </c>
      <c r="E74" s="9" t="s">
        <v>2471</v>
      </c>
      <c r="F74" s="9" t="s">
        <v>2472</v>
      </c>
      <c r="G74" s="8">
        <v>4.3</v>
      </c>
      <c r="H74" s="8">
        <v>16.8</v>
      </c>
      <c r="I74" s="8" t="s">
        <v>21</v>
      </c>
    </row>
    <row r="75" spans="1:9" ht="12.5">
      <c r="A75" s="20">
        <v>1411348</v>
      </c>
      <c r="B75" s="9" t="s">
        <v>31</v>
      </c>
      <c r="C75" s="9" t="s">
        <v>32</v>
      </c>
      <c r="D75" s="9" t="s">
        <v>2473</v>
      </c>
      <c r="E75" s="9" t="s">
        <v>2474</v>
      </c>
      <c r="F75" s="9" t="s">
        <v>2352</v>
      </c>
      <c r="G75" s="8">
        <v>4.5999999999999996</v>
      </c>
      <c r="H75" s="8">
        <v>3.5</v>
      </c>
      <c r="I75" s="8" t="s">
        <v>21</v>
      </c>
    </row>
    <row r="76" spans="1:9" ht="12.5">
      <c r="A76" s="20">
        <v>1453309</v>
      </c>
      <c r="B76" s="9" t="s">
        <v>31</v>
      </c>
      <c r="C76" s="9" t="s">
        <v>37</v>
      </c>
      <c r="D76" s="9" t="s">
        <v>2475</v>
      </c>
      <c r="E76" s="9" t="s">
        <v>2476</v>
      </c>
      <c r="F76" s="9" t="s">
        <v>2477</v>
      </c>
      <c r="G76" s="8">
        <v>4.38</v>
      </c>
      <c r="H76" s="8">
        <v>4.5999999999999996</v>
      </c>
      <c r="I76" s="8" t="s">
        <v>17</v>
      </c>
    </row>
    <row r="77" spans="1:9" ht="12.5">
      <c r="A77" s="20">
        <v>1522202</v>
      </c>
      <c r="B77" s="9" t="s">
        <v>31</v>
      </c>
      <c r="C77" s="9" t="s">
        <v>37</v>
      </c>
      <c r="D77" s="9" t="s">
        <v>2478</v>
      </c>
      <c r="E77" s="9" t="s">
        <v>2479</v>
      </c>
      <c r="F77" s="9" t="s">
        <v>2477</v>
      </c>
      <c r="G77" s="8">
        <v>4.5999999999999996</v>
      </c>
      <c r="H77" s="8">
        <v>3.5</v>
      </c>
      <c r="I77" s="8" t="s">
        <v>17</v>
      </c>
    </row>
    <row r="78" spans="1:9" ht="12.5">
      <c r="A78" s="20">
        <v>2224184</v>
      </c>
      <c r="B78" s="9" t="s">
        <v>31</v>
      </c>
      <c r="C78" s="9" t="s">
        <v>32</v>
      </c>
      <c r="D78" s="9" t="s">
        <v>2480</v>
      </c>
      <c r="E78" s="9" t="s">
        <v>2481</v>
      </c>
      <c r="F78" s="9" t="s">
        <v>2482</v>
      </c>
      <c r="G78" s="8">
        <v>4.3</v>
      </c>
      <c r="H78" s="8">
        <v>10.8</v>
      </c>
      <c r="I78" s="8" t="s">
        <v>72</v>
      </c>
    </row>
    <row r="79" spans="1:9" ht="12.5">
      <c r="A79" s="20">
        <v>1239772</v>
      </c>
      <c r="B79" s="9" t="s">
        <v>31</v>
      </c>
      <c r="C79" s="9" t="s">
        <v>32</v>
      </c>
      <c r="D79" s="9" t="s">
        <v>2483</v>
      </c>
      <c r="E79" s="9" t="s">
        <v>2484</v>
      </c>
      <c r="F79" s="9" t="s">
        <v>2352</v>
      </c>
      <c r="G79" s="8">
        <v>4.5999999999999996</v>
      </c>
      <c r="H79" s="8">
        <v>5.6</v>
      </c>
      <c r="I79" s="8" t="s">
        <v>17</v>
      </c>
    </row>
    <row r="80" spans="1:9" ht="12.5">
      <c r="A80" s="20">
        <v>1296004</v>
      </c>
      <c r="B80" s="9" t="s">
        <v>31</v>
      </c>
      <c r="C80" s="9" t="s">
        <v>32</v>
      </c>
      <c r="D80" s="9" t="s">
        <v>2485</v>
      </c>
      <c r="E80" s="9" t="s">
        <v>2486</v>
      </c>
      <c r="F80" s="9" t="s">
        <v>2352</v>
      </c>
      <c r="G80" s="8">
        <v>4.57</v>
      </c>
      <c r="H80" s="8">
        <v>3.5</v>
      </c>
      <c r="I80" s="8" t="s">
        <v>17</v>
      </c>
    </row>
    <row r="81" spans="1:9" ht="12.5">
      <c r="A81" s="20">
        <v>1349030</v>
      </c>
      <c r="B81" s="9" t="s">
        <v>31</v>
      </c>
      <c r="C81" s="9" t="s">
        <v>37</v>
      </c>
      <c r="D81" s="9" t="s">
        <v>2487</v>
      </c>
      <c r="E81" s="9" t="s">
        <v>2488</v>
      </c>
      <c r="F81" s="9" t="s">
        <v>2395</v>
      </c>
      <c r="G81" s="8">
        <v>4.62</v>
      </c>
      <c r="H81" s="8">
        <v>4.2</v>
      </c>
      <c r="I81" s="8" t="s">
        <v>21</v>
      </c>
    </row>
    <row r="82" spans="1:9" ht="12.5">
      <c r="A82" s="20">
        <v>1609216</v>
      </c>
      <c r="B82" s="9" t="s">
        <v>31</v>
      </c>
      <c r="C82" s="9" t="s">
        <v>32</v>
      </c>
      <c r="D82" s="9" t="s">
        <v>2489</v>
      </c>
      <c r="E82" s="9" t="s">
        <v>2490</v>
      </c>
      <c r="F82" s="9" t="s">
        <v>2352</v>
      </c>
      <c r="G82" s="8">
        <v>4.79</v>
      </c>
      <c r="H82" s="8">
        <v>7</v>
      </c>
      <c r="I82" s="8" t="s">
        <v>72</v>
      </c>
    </row>
    <row r="83" spans="1:9" ht="12.5">
      <c r="A83" s="20">
        <v>1642206</v>
      </c>
      <c r="B83" s="9" t="s">
        <v>31</v>
      </c>
      <c r="C83" s="9" t="s">
        <v>1161</v>
      </c>
      <c r="D83" s="9" t="s">
        <v>2491</v>
      </c>
      <c r="E83" s="9" t="s">
        <v>2492</v>
      </c>
      <c r="F83" s="9" t="s">
        <v>2348</v>
      </c>
      <c r="G83" s="8">
        <v>4.53</v>
      </c>
      <c r="H83" s="8">
        <v>6.1</v>
      </c>
      <c r="I83" s="8" t="s">
        <v>21</v>
      </c>
    </row>
    <row r="84" spans="1:9" ht="12.5">
      <c r="A84" s="20">
        <v>2440206</v>
      </c>
      <c r="B84" s="9" t="s">
        <v>31</v>
      </c>
      <c r="C84" s="9" t="s">
        <v>44</v>
      </c>
      <c r="D84" s="9" t="s">
        <v>2493</v>
      </c>
      <c r="E84" s="9" t="s">
        <v>2494</v>
      </c>
      <c r="F84" s="9" t="s">
        <v>2495</v>
      </c>
      <c r="G84" s="8">
        <v>4.88</v>
      </c>
      <c r="H84" s="8">
        <v>10.7</v>
      </c>
      <c r="I84" s="8" t="s">
        <v>72</v>
      </c>
    </row>
    <row r="85" spans="1:9" ht="12.5">
      <c r="A85" s="20">
        <v>1308982</v>
      </c>
      <c r="B85" s="9" t="s">
        <v>31</v>
      </c>
      <c r="C85" s="9" t="s">
        <v>37</v>
      </c>
      <c r="D85" s="9" t="s">
        <v>2496</v>
      </c>
      <c r="E85" s="9" t="s">
        <v>2497</v>
      </c>
      <c r="F85" s="9" t="s">
        <v>2352</v>
      </c>
      <c r="G85" s="8">
        <v>4.8</v>
      </c>
      <c r="H85" s="8">
        <v>6.7</v>
      </c>
      <c r="I85" s="8" t="s">
        <v>21</v>
      </c>
    </row>
    <row r="86" spans="1:9" ht="12.5">
      <c r="A86" s="20">
        <v>1547482</v>
      </c>
      <c r="B86" s="9" t="s">
        <v>31</v>
      </c>
      <c r="C86" s="9" t="s">
        <v>1161</v>
      </c>
      <c r="D86" s="9" t="s">
        <v>2498</v>
      </c>
      <c r="E86" s="9" t="s">
        <v>2499</v>
      </c>
      <c r="F86" s="9" t="s">
        <v>2395</v>
      </c>
      <c r="G86" s="8">
        <v>4.59</v>
      </c>
      <c r="H86" s="8">
        <v>3.4</v>
      </c>
      <c r="I86" s="8" t="s">
        <v>21</v>
      </c>
    </row>
    <row r="87" spans="1:9" ht="12.5">
      <c r="A87" s="20">
        <v>1594344</v>
      </c>
      <c r="B87" s="9" t="s">
        <v>31</v>
      </c>
      <c r="C87" s="9" t="s">
        <v>37</v>
      </c>
      <c r="D87" s="9" t="s">
        <v>2500</v>
      </c>
      <c r="E87" s="9" t="s">
        <v>2501</v>
      </c>
      <c r="F87" s="9" t="s">
        <v>2352</v>
      </c>
      <c r="G87" s="8">
        <v>4.5599999999999996</v>
      </c>
      <c r="H87" s="8">
        <v>4.7</v>
      </c>
      <c r="I87" s="8" t="s">
        <v>17</v>
      </c>
    </row>
    <row r="88" spans="1:9" ht="12.5">
      <c r="A88" s="20">
        <v>1650782</v>
      </c>
      <c r="B88" s="9" t="s">
        <v>31</v>
      </c>
      <c r="C88" s="9" t="s">
        <v>1161</v>
      </c>
      <c r="D88" s="9" t="s">
        <v>2502</v>
      </c>
      <c r="E88" s="9" t="s">
        <v>2503</v>
      </c>
      <c r="F88" s="9" t="s">
        <v>2395</v>
      </c>
      <c r="G88" s="8">
        <v>4.5199999999999996</v>
      </c>
      <c r="H88" s="8">
        <v>5.4</v>
      </c>
      <c r="I88" s="8" t="s">
        <v>21</v>
      </c>
    </row>
    <row r="89" spans="1:9" ht="12.5">
      <c r="A89" s="20">
        <v>2359682</v>
      </c>
      <c r="B89" s="9" t="s">
        <v>31</v>
      </c>
      <c r="C89" s="9" t="s">
        <v>93</v>
      </c>
      <c r="D89" s="9" t="s">
        <v>2504</v>
      </c>
      <c r="E89" s="9" t="s">
        <v>2505</v>
      </c>
      <c r="F89" s="9" t="s">
        <v>2506</v>
      </c>
      <c r="G89" s="8">
        <v>4.66</v>
      </c>
      <c r="H89" s="8">
        <v>8.3000000000000007</v>
      </c>
      <c r="I89" s="8" t="s">
        <v>21</v>
      </c>
    </row>
    <row r="90" spans="1:9" ht="12.5">
      <c r="A90" s="20">
        <v>3044504</v>
      </c>
      <c r="B90" s="9" t="s">
        <v>31</v>
      </c>
      <c r="C90" s="9" t="s">
        <v>37</v>
      </c>
      <c r="D90" s="9" t="s">
        <v>2507</v>
      </c>
      <c r="E90" s="9" t="s">
        <v>2508</v>
      </c>
      <c r="F90" s="9" t="s">
        <v>2509</v>
      </c>
      <c r="G90" s="8">
        <v>4.68</v>
      </c>
      <c r="H90" s="8">
        <v>2.9</v>
      </c>
      <c r="I90" s="8" t="s">
        <v>21</v>
      </c>
    </row>
    <row r="91" spans="1:9" ht="12.5">
      <c r="A91" s="20">
        <v>3193088</v>
      </c>
      <c r="B91" s="9" t="s">
        <v>31</v>
      </c>
      <c r="C91" s="9" t="s">
        <v>32</v>
      </c>
      <c r="D91" s="9" t="s">
        <v>2510</v>
      </c>
      <c r="E91" s="9" t="s">
        <v>2511</v>
      </c>
      <c r="F91" s="9" t="s">
        <v>2512</v>
      </c>
      <c r="G91" s="8">
        <v>4.72</v>
      </c>
      <c r="H91" s="8">
        <v>14.4</v>
      </c>
      <c r="I91" s="8" t="s">
        <v>72</v>
      </c>
    </row>
    <row r="92" spans="1:9" ht="12.5">
      <c r="A92" s="20">
        <v>3566849</v>
      </c>
      <c r="B92" s="9" t="s">
        <v>31</v>
      </c>
      <c r="C92" s="9" t="s">
        <v>37</v>
      </c>
      <c r="D92" s="9" t="s">
        <v>2513</v>
      </c>
      <c r="E92" s="9" t="s">
        <v>2514</v>
      </c>
      <c r="F92" s="9" t="s">
        <v>2371</v>
      </c>
      <c r="G92" s="8">
        <v>4.6500000000000004</v>
      </c>
      <c r="H92" s="8">
        <v>19.5</v>
      </c>
      <c r="I92" s="8" t="s">
        <v>259</v>
      </c>
    </row>
    <row r="93" spans="1:9" ht="12.5">
      <c r="A93" s="20">
        <v>1175680</v>
      </c>
      <c r="B93" s="9" t="s">
        <v>31</v>
      </c>
      <c r="C93" s="9" t="s">
        <v>37</v>
      </c>
      <c r="D93" s="9" t="s">
        <v>2515</v>
      </c>
      <c r="E93" s="9" t="s">
        <v>2516</v>
      </c>
      <c r="F93" s="9" t="s">
        <v>2339</v>
      </c>
      <c r="G93" s="8">
        <v>4.47</v>
      </c>
      <c r="H93" s="8">
        <v>6.2</v>
      </c>
      <c r="I93" s="8" t="s">
        <v>17</v>
      </c>
    </row>
    <row r="94" spans="1:9" ht="12.5">
      <c r="A94" s="20">
        <v>1561402</v>
      </c>
      <c r="B94" s="9" t="s">
        <v>31</v>
      </c>
      <c r="C94" s="9" t="s">
        <v>32</v>
      </c>
      <c r="D94" s="9" t="s">
        <v>2517</v>
      </c>
      <c r="E94" s="9" t="s">
        <v>2518</v>
      </c>
      <c r="F94" s="9" t="s">
        <v>2352</v>
      </c>
      <c r="G94" s="8">
        <v>4.88</v>
      </c>
      <c r="H94" s="8">
        <v>5.7</v>
      </c>
      <c r="I94" s="8" t="s">
        <v>21</v>
      </c>
    </row>
    <row r="95" spans="1:9" ht="12.5">
      <c r="A95" s="20">
        <v>1617388</v>
      </c>
      <c r="B95" s="9" t="s">
        <v>31</v>
      </c>
      <c r="C95" s="9" t="s">
        <v>37</v>
      </c>
      <c r="D95" s="9" t="s">
        <v>2519</v>
      </c>
      <c r="E95" s="9" t="s">
        <v>2520</v>
      </c>
      <c r="F95" s="9" t="s">
        <v>2352</v>
      </c>
      <c r="G95" s="8">
        <v>4.95</v>
      </c>
      <c r="H95" s="8">
        <v>5.2</v>
      </c>
      <c r="I95" s="8" t="s">
        <v>17</v>
      </c>
    </row>
    <row r="96" spans="1:9" ht="12.5">
      <c r="A96" s="20">
        <v>1692174</v>
      </c>
      <c r="B96" s="9" t="s">
        <v>31</v>
      </c>
      <c r="C96" s="9" t="s">
        <v>37</v>
      </c>
      <c r="D96" s="9" t="s">
        <v>2521</v>
      </c>
      <c r="E96" s="9" t="s">
        <v>2522</v>
      </c>
      <c r="F96" s="9" t="s">
        <v>2352</v>
      </c>
      <c r="G96" s="8">
        <v>4.26</v>
      </c>
      <c r="H96" s="8">
        <v>4.4000000000000004</v>
      </c>
      <c r="I96" s="8" t="s">
        <v>17</v>
      </c>
    </row>
    <row r="97" spans="1:9" ht="12.5">
      <c r="A97" s="20">
        <v>1918144</v>
      </c>
      <c r="B97" s="9" t="s">
        <v>31</v>
      </c>
      <c r="C97" s="9" t="s">
        <v>32</v>
      </c>
      <c r="D97" s="9" t="s">
        <v>2523</v>
      </c>
      <c r="E97" s="9" t="s">
        <v>2524</v>
      </c>
      <c r="F97" s="9" t="s">
        <v>2352</v>
      </c>
      <c r="G97" s="8">
        <v>4.66</v>
      </c>
      <c r="H97" s="8">
        <v>3.8</v>
      </c>
      <c r="I97" s="8" t="s">
        <v>17</v>
      </c>
    </row>
    <row r="98" spans="1:9" ht="12.5">
      <c r="A98" s="20">
        <v>2188320</v>
      </c>
      <c r="B98" s="9" t="s">
        <v>31</v>
      </c>
      <c r="C98" s="9" t="s">
        <v>1161</v>
      </c>
      <c r="D98" s="9" t="s">
        <v>2525</v>
      </c>
      <c r="E98" s="9" t="s">
        <v>2526</v>
      </c>
      <c r="F98" s="9" t="s">
        <v>2527</v>
      </c>
      <c r="G98" s="8">
        <v>4.78</v>
      </c>
      <c r="H98" s="8">
        <v>6.5</v>
      </c>
      <c r="I98" s="8" t="s">
        <v>21</v>
      </c>
    </row>
    <row r="99" spans="1:9" ht="12.5">
      <c r="A99" s="20">
        <v>2382729</v>
      </c>
      <c r="B99" s="9" t="s">
        <v>31</v>
      </c>
      <c r="C99" s="9" t="s">
        <v>32</v>
      </c>
      <c r="D99" s="9" t="s">
        <v>2528</v>
      </c>
      <c r="E99" s="9" t="s">
        <v>2529</v>
      </c>
      <c r="F99" s="9" t="s">
        <v>2352</v>
      </c>
      <c r="G99" s="8">
        <v>4.5599999999999996</v>
      </c>
      <c r="H99" s="8">
        <v>4</v>
      </c>
      <c r="I99" s="8" t="s">
        <v>17</v>
      </c>
    </row>
    <row r="100" spans="1:9" ht="12.5">
      <c r="A100" s="20">
        <v>2808551</v>
      </c>
      <c r="B100" s="9" t="s">
        <v>31</v>
      </c>
      <c r="C100" s="9" t="s">
        <v>93</v>
      </c>
      <c r="D100" s="9" t="s">
        <v>2530</v>
      </c>
      <c r="E100" s="9" t="s">
        <v>2531</v>
      </c>
      <c r="F100" s="9" t="s">
        <v>2532</v>
      </c>
      <c r="G100" s="8">
        <v>4.7</v>
      </c>
      <c r="H100" s="8">
        <v>11.3</v>
      </c>
      <c r="I100" s="8" t="s">
        <v>21</v>
      </c>
    </row>
    <row r="101" spans="1:9" ht="12.5">
      <c r="A101" s="20">
        <v>1508608</v>
      </c>
      <c r="B101" s="9" t="s">
        <v>31</v>
      </c>
      <c r="C101" s="9" t="s">
        <v>32</v>
      </c>
      <c r="D101" s="9" t="s">
        <v>2533</v>
      </c>
      <c r="E101" s="9" t="s">
        <v>2534</v>
      </c>
      <c r="F101" s="9" t="s">
        <v>2352</v>
      </c>
      <c r="G101" s="8">
        <v>4.8499999999999996</v>
      </c>
      <c r="H101" s="8">
        <v>9.1999999999999993</v>
      </c>
      <c r="I101" s="8" t="s">
        <v>17</v>
      </c>
    </row>
    <row r="102" spans="1:9" ht="12.5">
      <c r="A102" s="20">
        <v>2339714</v>
      </c>
      <c r="B102" s="9" t="s">
        <v>31</v>
      </c>
      <c r="C102" s="9" t="s">
        <v>93</v>
      </c>
      <c r="D102" s="9" t="s">
        <v>2535</v>
      </c>
      <c r="E102" s="9" t="s">
        <v>2536</v>
      </c>
      <c r="F102" s="9" t="s">
        <v>2395</v>
      </c>
      <c r="G102" s="8">
        <v>4.75</v>
      </c>
      <c r="H102" s="8">
        <v>2.2999999999999998</v>
      </c>
      <c r="I102" s="8" t="s">
        <v>21</v>
      </c>
    </row>
    <row r="103" spans="1:9" ht="12.5">
      <c r="A103" s="20">
        <v>2614042</v>
      </c>
      <c r="B103" s="9" t="s">
        <v>31</v>
      </c>
      <c r="C103" s="9" t="s">
        <v>32</v>
      </c>
      <c r="D103" s="9" t="s">
        <v>2537</v>
      </c>
      <c r="E103" s="9" t="s">
        <v>2538</v>
      </c>
      <c r="F103" s="9" t="s">
        <v>2352</v>
      </c>
      <c r="G103" s="8">
        <v>4.8</v>
      </c>
      <c r="H103" s="8">
        <v>4.8</v>
      </c>
      <c r="I103" s="8" t="s">
        <v>21</v>
      </c>
    </row>
    <row r="104" spans="1:9" ht="12.5">
      <c r="A104" s="20">
        <v>2669998</v>
      </c>
      <c r="B104" s="9" t="s">
        <v>31</v>
      </c>
      <c r="C104" s="9" t="s">
        <v>32</v>
      </c>
      <c r="D104" s="9" t="s">
        <v>2539</v>
      </c>
      <c r="E104" s="9" t="s">
        <v>2540</v>
      </c>
      <c r="F104" s="9" t="s">
        <v>2352</v>
      </c>
      <c r="G104" s="8">
        <v>4.59</v>
      </c>
      <c r="H104" s="8">
        <v>5.9</v>
      </c>
      <c r="I104" s="8" t="s">
        <v>21</v>
      </c>
    </row>
    <row r="105" spans="1:9" ht="12.5">
      <c r="A105" s="20">
        <v>3267280</v>
      </c>
      <c r="B105" s="9" t="s">
        <v>31</v>
      </c>
      <c r="C105" s="9" t="s">
        <v>32</v>
      </c>
      <c r="D105" s="9" t="s">
        <v>2541</v>
      </c>
      <c r="E105" s="9" t="s">
        <v>2542</v>
      </c>
      <c r="F105" s="9" t="s">
        <v>2352</v>
      </c>
      <c r="G105" s="8">
        <v>4.68</v>
      </c>
      <c r="H105" s="8">
        <v>4.8</v>
      </c>
      <c r="I105" s="8" t="s">
        <v>21</v>
      </c>
    </row>
    <row r="106" spans="1:9" ht="12.5">
      <c r="A106" s="20">
        <v>1324456</v>
      </c>
      <c r="B106" s="9" t="s">
        <v>31</v>
      </c>
      <c r="C106" s="9" t="s">
        <v>37</v>
      </c>
      <c r="D106" s="9" t="s">
        <v>2543</v>
      </c>
      <c r="E106" s="9" t="s">
        <v>2544</v>
      </c>
      <c r="F106" s="9" t="s">
        <v>2352</v>
      </c>
      <c r="G106" s="8">
        <v>4.79</v>
      </c>
      <c r="H106" s="8">
        <v>9.5</v>
      </c>
      <c r="I106" s="8" t="s">
        <v>21</v>
      </c>
    </row>
    <row r="107" spans="1:9" ht="12.5">
      <c r="A107" s="20">
        <v>2516724</v>
      </c>
      <c r="B107" s="9" t="s">
        <v>31</v>
      </c>
      <c r="C107" s="9" t="s">
        <v>32</v>
      </c>
      <c r="D107" s="9" t="s">
        <v>2545</v>
      </c>
      <c r="E107" s="9" t="s">
        <v>2546</v>
      </c>
      <c r="F107" s="9" t="s">
        <v>2547</v>
      </c>
      <c r="G107" s="8">
        <v>4.93</v>
      </c>
      <c r="H107" s="8">
        <v>3</v>
      </c>
      <c r="I107" s="8" t="s">
        <v>21</v>
      </c>
    </row>
    <row r="108" spans="1:9" ht="12.5">
      <c r="A108" s="20">
        <v>2805621</v>
      </c>
      <c r="B108" s="9" t="s">
        <v>31</v>
      </c>
      <c r="C108" s="9" t="s">
        <v>32</v>
      </c>
      <c r="D108" s="9" t="s">
        <v>2548</v>
      </c>
      <c r="E108" s="9" t="s">
        <v>2549</v>
      </c>
      <c r="F108" s="9" t="s">
        <v>2352</v>
      </c>
      <c r="G108" s="8">
        <v>4.6399999999999997</v>
      </c>
      <c r="H108" s="8">
        <v>16.100000000000001</v>
      </c>
      <c r="I108" s="8" t="s">
        <v>21</v>
      </c>
    </row>
    <row r="109" spans="1:9" ht="12.5">
      <c r="A109" s="20">
        <v>3315572</v>
      </c>
      <c r="B109" s="9" t="s">
        <v>31</v>
      </c>
      <c r="C109" s="9" t="s">
        <v>37</v>
      </c>
      <c r="D109" s="9" t="s">
        <v>2550</v>
      </c>
      <c r="E109" s="9" t="s">
        <v>2551</v>
      </c>
      <c r="F109" s="9" t="s">
        <v>2348</v>
      </c>
      <c r="G109" s="8">
        <v>4.4800000000000004</v>
      </c>
      <c r="H109" s="8">
        <v>16.2</v>
      </c>
      <c r="I109" s="8" t="s">
        <v>259</v>
      </c>
    </row>
    <row r="110" spans="1:9" ht="12.5">
      <c r="A110" s="20">
        <v>1334432</v>
      </c>
      <c r="B110" s="9" t="s">
        <v>102</v>
      </c>
      <c r="C110" s="9" t="s">
        <v>106</v>
      </c>
      <c r="D110" s="9" t="s">
        <v>2552</v>
      </c>
      <c r="E110" s="9" t="s">
        <v>2553</v>
      </c>
      <c r="F110" s="9" t="s">
        <v>2554</v>
      </c>
      <c r="G110" s="8">
        <v>4.62</v>
      </c>
      <c r="H110" s="8">
        <v>10.4</v>
      </c>
      <c r="I110" s="8" t="s">
        <v>21</v>
      </c>
    </row>
    <row r="111" spans="1:9" ht="12.5">
      <c r="A111" s="20">
        <v>1383810</v>
      </c>
      <c r="B111" s="9" t="s">
        <v>102</v>
      </c>
      <c r="C111" s="9" t="s">
        <v>116</v>
      </c>
      <c r="D111" s="9" t="s">
        <v>2555</v>
      </c>
      <c r="E111" s="9" t="s">
        <v>2556</v>
      </c>
      <c r="F111" s="9" t="s">
        <v>2557</v>
      </c>
      <c r="G111" s="8">
        <v>4.58</v>
      </c>
      <c r="H111" s="8">
        <v>31.8</v>
      </c>
      <c r="I111" s="8" t="s">
        <v>21</v>
      </c>
    </row>
    <row r="112" spans="1:9" ht="12.5">
      <c r="A112" s="20">
        <v>1902954</v>
      </c>
      <c r="B112" s="9" t="s">
        <v>102</v>
      </c>
      <c r="C112" s="9" t="s">
        <v>106</v>
      </c>
      <c r="D112" s="9" t="s">
        <v>2558</v>
      </c>
      <c r="E112" s="9" t="s">
        <v>2559</v>
      </c>
      <c r="F112" s="9" t="s">
        <v>2554</v>
      </c>
      <c r="G112" s="8">
        <v>4.7</v>
      </c>
      <c r="H112" s="8">
        <v>6.2</v>
      </c>
      <c r="I112" s="8" t="s">
        <v>17</v>
      </c>
    </row>
    <row r="113" spans="1:9" ht="12.5">
      <c r="A113" s="20">
        <v>2535512</v>
      </c>
      <c r="B113" s="9" t="s">
        <v>102</v>
      </c>
      <c r="C113" s="9" t="s">
        <v>106</v>
      </c>
      <c r="D113" s="9" t="s">
        <v>2560</v>
      </c>
      <c r="E113" s="9" t="s">
        <v>2561</v>
      </c>
      <c r="F113" s="9" t="s">
        <v>2562</v>
      </c>
      <c r="G113" s="8">
        <v>4.62</v>
      </c>
      <c r="H113" s="8">
        <v>10.9</v>
      </c>
      <c r="I113" s="8" t="s">
        <v>17</v>
      </c>
    </row>
    <row r="114" spans="1:9" ht="12.5">
      <c r="A114" s="20">
        <v>2092134</v>
      </c>
      <c r="B114" s="9" t="s">
        <v>102</v>
      </c>
      <c r="C114" s="9" t="s">
        <v>103</v>
      </c>
      <c r="D114" s="9" t="s">
        <v>2563</v>
      </c>
      <c r="E114" s="9" t="s">
        <v>2564</v>
      </c>
      <c r="F114" s="9" t="s">
        <v>2402</v>
      </c>
      <c r="G114" s="8">
        <v>4.5599999999999996</v>
      </c>
      <c r="H114" s="8">
        <v>11.9</v>
      </c>
      <c r="I114" s="8" t="s">
        <v>21</v>
      </c>
    </row>
    <row r="115" spans="1:9" ht="12.5">
      <c r="A115" s="20">
        <v>2041290</v>
      </c>
      <c r="B115" s="9" t="s">
        <v>102</v>
      </c>
      <c r="C115" s="9" t="s">
        <v>103</v>
      </c>
      <c r="D115" s="9" t="s">
        <v>2565</v>
      </c>
      <c r="E115" s="9" t="s">
        <v>2566</v>
      </c>
      <c r="F115" s="9" t="s">
        <v>2567</v>
      </c>
      <c r="G115" s="8">
        <v>4.6100000000000003</v>
      </c>
      <c r="H115" s="8">
        <v>25.3</v>
      </c>
      <c r="I115" s="8" t="s">
        <v>21</v>
      </c>
    </row>
    <row r="116" spans="1:9" ht="12.5">
      <c r="A116" s="20">
        <v>950894</v>
      </c>
      <c r="B116" s="9" t="s">
        <v>102</v>
      </c>
      <c r="C116" s="9" t="s">
        <v>110</v>
      </c>
      <c r="D116" s="9" t="s">
        <v>2568</v>
      </c>
      <c r="E116" s="9" t="s">
        <v>2569</v>
      </c>
      <c r="F116" s="9" t="s">
        <v>2570</v>
      </c>
      <c r="G116" s="8">
        <v>4.7</v>
      </c>
      <c r="H116" s="8">
        <v>11.3</v>
      </c>
      <c r="I116" s="8" t="s">
        <v>21</v>
      </c>
    </row>
    <row r="117" spans="1:9" ht="12.5">
      <c r="A117" s="20">
        <v>1902950</v>
      </c>
      <c r="B117" s="9" t="s">
        <v>102</v>
      </c>
      <c r="C117" s="9" t="s">
        <v>106</v>
      </c>
      <c r="D117" s="9" t="s">
        <v>2571</v>
      </c>
      <c r="E117" s="9" t="s">
        <v>2572</v>
      </c>
      <c r="F117" s="9" t="s">
        <v>2554</v>
      </c>
      <c r="G117" s="8">
        <v>4.57</v>
      </c>
      <c r="H117" s="8">
        <v>5.2</v>
      </c>
      <c r="I117" s="8" t="s">
        <v>17</v>
      </c>
    </row>
    <row r="118" spans="1:9" ht="12.5">
      <c r="A118" s="20">
        <v>865650</v>
      </c>
      <c r="B118" s="9" t="s">
        <v>102</v>
      </c>
      <c r="C118" s="9" t="s">
        <v>106</v>
      </c>
      <c r="D118" s="9" t="s">
        <v>2573</v>
      </c>
      <c r="E118" s="9" t="s">
        <v>2574</v>
      </c>
      <c r="F118" s="9" t="s">
        <v>2575</v>
      </c>
      <c r="G118" s="8">
        <v>4.51</v>
      </c>
      <c r="H118" s="8">
        <v>18.2</v>
      </c>
      <c r="I118" s="8" t="s">
        <v>21</v>
      </c>
    </row>
    <row r="119" spans="1:9" ht="12.5">
      <c r="A119" s="20">
        <v>1546240</v>
      </c>
      <c r="B119" s="9" t="s">
        <v>102</v>
      </c>
      <c r="C119" s="9" t="s">
        <v>110</v>
      </c>
      <c r="D119" s="9" t="s">
        <v>2576</v>
      </c>
      <c r="E119" s="9" t="s">
        <v>2577</v>
      </c>
      <c r="F119" s="9" t="s">
        <v>2578</v>
      </c>
      <c r="G119" s="8">
        <v>4.7699999999999996</v>
      </c>
      <c r="H119" s="8">
        <v>3.1</v>
      </c>
      <c r="I119" s="8" t="s">
        <v>21</v>
      </c>
    </row>
    <row r="120" spans="1:9" ht="12.5">
      <c r="A120" s="20">
        <v>2058291</v>
      </c>
      <c r="B120" s="9" t="s">
        <v>102</v>
      </c>
      <c r="C120" s="9" t="s">
        <v>116</v>
      </c>
      <c r="D120" s="9" t="s">
        <v>2579</v>
      </c>
      <c r="E120" s="9" t="s">
        <v>2580</v>
      </c>
      <c r="F120" s="9" t="s">
        <v>2581</v>
      </c>
      <c r="G120" s="8">
        <v>4.6100000000000003</v>
      </c>
      <c r="H120" s="8">
        <v>7.9</v>
      </c>
      <c r="I120" s="8" t="s">
        <v>21</v>
      </c>
    </row>
    <row r="121" spans="1:9" ht="12.5">
      <c r="A121" s="20">
        <v>1029554</v>
      </c>
      <c r="B121" s="9" t="s">
        <v>102</v>
      </c>
      <c r="C121" s="9" t="s">
        <v>116</v>
      </c>
      <c r="D121" s="9" t="s">
        <v>2582</v>
      </c>
      <c r="E121" s="9" t="s">
        <v>2583</v>
      </c>
      <c r="F121" s="9" t="s">
        <v>2584</v>
      </c>
      <c r="G121" s="8">
        <v>4.71</v>
      </c>
      <c r="H121" s="8">
        <v>21.6</v>
      </c>
      <c r="I121" s="8" t="s">
        <v>17</v>
      </c>
    </row>
    <row r="122" spans="1:9" ht="12.5">
      <c r="A122" s="20">
        <v>2187504</v>
      </c>
      <c r="B122" s="9" t="s">
        <v>102</v>
      </c>
      <c r="C122" s="9" t="s">
        <v>116</v>
      </c>
      <c r="D122" s="9" t="s">
        <v>2585</v>
      </c>
      <c r="E122" s="9" t="s">
        <v>2586</v>
      </c>
      <c r="F122" s="9" t="s">
        <v>2587</v>
      </c>
      <c r="G122" s="8">
        <v>4.62</v>
      </c>
      <c r="H122" s="8">
        <v>44.6</v>
      </c>
      <c r="I122" s="8" t="s">
        <v>21</v>
      </c>
    </row>
    <row r="123" spans="1:9" ht="12.5">
      <c r="A123" s="20">
        <v>3109388</v>
      </c>
      <c r="B123" s="9" t="s">
        <v>102</v>
      </c>
      <c r="C123" s="9" t="s">
        <v>116</v>
      </c>
      <c r="D123" s="9" t="s">
        <v>2588</v>
      </c>
      <c r="E123" s="9" t="s">
        <v>2589</v>
      </c>
      <c r="F123" s="9" t="s">
        <v>2590</v>
      </c>
      <c r="G123" s="8">
        <v>4.67</v>
      </c>
      <c r="H123" s="8">
        <v>3.1</v>
      </c>
      <c r="I123" s="8" t="s">
        <v>17</v>
      </c>
    </row>
    <row r="124" spans="1:9" ht="12.5">
      <c r="A124" s="20">
        <v>3667524</v>
      </c>
      <c r="B124" s="9" t="s">
        <v>102</v>
      </c>
      <c r="C124" s="9" t="s">
        <v>106</v>
      </c>
      <c r="D124" s="9" t="s">
        <v>2591</v>
      </c>
      <c r="E124" s="9" t="s">
        <v>2592</v>
      </c>
      <c r="F124" s="9" t="s">
        <v>2554</v>
      </c>
      <c r="G124" s="8">
        <v>4.72</v>
      </c>
      <c r="H124" s="8">
        <v>2</v>
      </c>
      <c r="I124" s="8" t="s">
        <v>21</v>
      </c>
    </row>
    <row r="125" spans="1:9" ht="12.5">
      <c r="A125" s="20">
        <v>1022932</v>
      </c>
      <c r="B125" s="9" t="s">
        <v>102</v>
      </c>
      <c r="C125" s="9" t="s">
        <v>116</v>
      </c>
      <c r="D125" s="9" t="s">
        <v>2593</v>
      </c>
      <c r="E125" s="9" t="s">
        <v>2594</v>
      </c>
      <c r="F125" s="9" t="s">
        <v>2595</v>
      </c>
      <c r="G125" s="8">
        <v>4.1100000000000003</v>
      </c>
      <c r="H125" s="8">
        <v>1.1000000000000001</v>
      </c>
      <c r="I125" s="8" t="s">
        <v>17</v>
      </c>
    </row>
    <row r="126" spans="1:9" ht="12.5">
      <c r="A126" s="20">
        <v>2413902</v>
      </c>
      <c r="B126" s="9" t="s">
        <v>102</v>
      </c>
      <c r="C126" s="9" t="s">
        <v>103</v>
      </c>
      <c r="D126" s="9" t="s">
        <v>2596</v>
      </c>
      <c r="E126" s="9" t="s">
        <v>2597</v>
      </c>
      <c r="F126" s="9" t="s">
        <v>2598</v>
      </c>
      <c r="G126" s="8">
        <v>4.71</v>
      </c>
      <c r="H126" s="8">
        <v>8.1999999999999993</v>
      </c>
      <c r="I126" s="8" t="s">
        <v>21</v>
      </c>
    </row>
    <row r="127" spans="1:9" ht="12.5">
      <c r="A127" s="20">
        <v>1545584</v>
      </c>
      <c r="B127" s="9" t="s">
        <v>102</v>
      </c>
      <c r="C127" s="9" t="s">
        <v>116</v>
      </c>
      <c r="D127" s="9" t="s">
        <v>2599</v>
      </c>
      <c r="E127" s="9" t="s">
        <v>2600</v>
      </c>
      <c r="F127" s="9" t="s">
        <v>2601</v>
      </c>
      <c r="G127" s="8">
        <v>4.54</v>
      </c>
      <c r="H127" s="8">
        <v>5.8</v>
      </c>
      <c r="I127" s="8" t="s">
        <v>21</v>
      </c>
    </row>
    <row r="128" spans="1:9" ht="12.5">
      <c r="A128" s="20">
        <v>1784860</v>
      </c>
      <c r="B128" s="9" t="s">
        <v>102</v>
      </c>
      <c r="C128" s="9" t="s">
        <v>116</v>
      </c>
      <c r="D128" s="9" t="s">
        <v>2602</v>
      </c>
      <c r="E128" s="9" t="s">
        <v>2603</v>
      </c>
      <c r="F128" s="9" t="s">
        <v>2604</v>
      </c>
      <c r="G128" s="8">
        <v>4.6900000000000004</v>
      </c>
      <c r="H128" s="8">
        <v>66.400000000000006</v>
      </c>
      <c r="I128" s="8" t="s">
        <v>21</v>
      </c>
    </row>
    <row r="129" spans="1:9" ht="12.5">
      <c r="A129" s="20">
        <v>2580598</v>
      </c>
      <c r="B129" s="9" t="s">
        <v>102</v>
      </c>
      <c r="C129" s="9" t="s">
        <v>106</v>
      </c>
      <c r="D129" s="9" t="s">
        <v>2605</v>
      </c>
      <c r="E129" s="9" t="s">
        <v>2606</v>
      </c>
      <c r="F129" s="9" t="s">
        <v>2607</v>
      </c>
      <c r="G129" s="8">
        <v>4.28</v>
      </c>
      <c r="H129" s="8">
        <v>10.5</v>
      </c>
      <c r="I129" s="8" t="s">
        <v>21</v>
      </c>
    </row>
    <row r="130" spans="1:9" ht="12.5">
      <c r="A130" s="20">
        <v>2664838</v>
      </c>
      <c r="B130" s="9" t="s">
        <v>102</v>
      </c>
      <c r="C130" s="9" t="s">
        <v>110</v>
      </c>
      <c r="D130" s="9" t="s">
        <v>2608</v>
      </c>
      <c r="E130" s="9" t="s">
        <v>2609</v>
      </c>
      <c r="F130" s="9" t="s">
        <v>2610</v>
      </c>
      <c r="G130" s="8">
        <v>4.7300000000000004</v>
      </c>
      <c r="H130" s="8">
        <v>28.9</v>
      </c>
      <c r="I130" s="8" t="s">
        <v>21</v>
      </c>
    </row>
    <row r="131" spans="1:9" ht="12.5">
      <c r="A131" s="20">
        <v>3194104</v>
      </c>
      <c r="B131" s="9" t="s">
        <v>102</v>
      </c>
      <c r="C131" s="9" t="s">
        <v>106</v>
      </c>
      <c r="D131" s="9" t="s">
        <v>2611</v>
      </c>
      <c r="E131" s="9" t="s">
        <v>2612</v>
      </c>
      <c r="F131" s="9" t="s">
        <v>2613</v>
      </c>
      <c r="G131" s="8">
        <v>4.3099999999999996</v>
      </c>
      <c r="H131" s="8">
        <v>3.9</v>
      </c>
      <c r="I131" s="8" t="s">
        <v>21</v>
      </c>
    </row>
    <row r="132" spans="1:9" ht="12.5">
      <c r="A132" s="20">
        <v>1494760</v>
      </c>
      <c r="B132" s="9" t="s">
        <v>102</v>
      </c>
      <c r="C132" s="9" t="s">
        <v>116</v>
      </c>
      <c r="D132" s="9" t="s">
        <v>2614</v>
      </c>
      <c r="E132" s="9" t="s">
        <v>2615</v>
      </c>
      <c r="F132" s="9" t="s">
        <v>2570</v>
      </c>
      <c r="G132" s="8">
        <v>4.6399999999999997</v>
      </c>
      <c r="H132" s="8">
        <v>8.1999999999999993</v>
      </c>
      <c r="I132" s="8" t="s">
        <v>21</v>
      </c>
    </row>
    <row r="133" spans="1:9" ht="12.5">
      <c r="A133" s="20">
        <v>1614570</v>
      </c>
      <c r="B133" s="9" t="s">
        <v>102</v>
      </c>
      <c r="C133" s="9" t="s">
        <v>116</v>
      </c>
      <c r="D133" s="9" t="s">
        <v>2616</v>
      </c>
      <c r="E133" s="9" t="s">
        <v>2617</v>
      </c>
      <c r="F133" s="9" t="s">
        <v>2581</v>
      </c>
      <c r="G133" s="8">
        <v>4.53</v>
      </c>
      <c r="H133" s="8">
        <v>10.1</v>
      </c>
      <c r="I133" s="8" t="s">
        <v>21</v>
      </c>
    </row>
    <row r="134" spans="1:9" ht="12.5">
      <c r="A134" s="20">
        <v>1621628</v>
      </c>
      <c r="B134" s="9" t="s">
        <v>102</v>
      </c>
      <c r="C134" s="9" t="s">
        <v>110</v>
      </c>
      <c r="D134" s="9" t="s">
        <v>2618</v>
      </c>
      <c r="E134" s="9" t="s">
        <v>2619</v>
      </c>
      <c r="F134" s="9" t="s">
        <v>2557</v>
      </c>
      <c r="G134" s="8">
        <v>4.55</v>
      </c>
      <c r="H134" s="8">
        <v>32.700000000000003</v>
      </c>
      <c r="I134" s="8" t="s">
        <v>21</v>
      </c>
    </row>
    <row r="135" spans="1:9" ht="12.5">
      <c r="A135" s="20">
        <v>1774636</v>
      </c>
      <c r="B135" s="9" t="s">
        <v>102</v>
      </c>
      <c r="C135" s="9" t="s">
        <v>116</v>
      </c>
      <c r="D135" s="9" t="s">
        <v>2620</v>
      </c>
      <c r="E135" s="9" t="s">
        <v>2621</v>
      </c>
      <c r="F135" s="9" t="s">
        <v>2604</v>
      </c>
      <c r="G135" s="8">
        <v>4.74</v>
      </c>
      <c r="H135" s="8">
        <v>24.6</v>
      </c>
      <c r="I135" s="8" t="s">
        <v>21</v>
      </c>
    </row>
    <row r="136" spans="1:9" ht="12.5">
      <c r="A136" s="20">
        <v>2393178</v>
      </c>
      <c r="B136" s="9" t="s">
        <v>102</v>
      </c>
      <c r="C136" s="9" t="s">
        <v>116</v>
      </c>
      <c r="D136" s="9" t="s">
        <v>2622</v>
      </c>
      <c r="E136" s="9" t="s">
        <v>2623</v>
      </c>
      <c r="F136" s="9" t="s">
        <v>2557</v>
      </c>
      <c r="G136" s="8">
        <v>4.58</v>
      </c>
      <c r="H136" s="8">
        <v>14.3</v>
      </c>
      <c r="I136" s="8" t="s">
        <v>17</v>
      </c>
    </row>
    <row r="137" spans="1:9" ht="12.5">
      <c r="A137" s="20">
        <v>3110166</v>
      </c>
      <c r="B137" s="9" t="s">
        <v>102</v>
      </c>
      <c r="C137" s="9" t="s">
        <v>116</v>
      </c>
      <c r="D137" s="9" t="s">
        <v>2624</v>
      </c>
      <c r="E137" s="9" t="s">
        <v>2625</v>
      </c>
      <c r="F137" s="9" t="s">
        <v>2626</v>
      </c>
      <c r="G137" s="8">
        <v>4.62</v>
      </c>
      <c r="H137" s="8">
        <v>3.3</v>
      </c>
      <c r="I137" s="8" t="s">
        <v>17</v>
      </c>
    </row>
    <row r="138" spans="1:9" ht="12.5">
      <c r="A138" s="20">
        <v>3400980</v>
      </c>
      <c r="B138" s="9" t="s">
        <v>102</v>
      </c>
      <c r="C138" s="9" t="s">
        <v>110</v>
      </c>
      <c r="D138" s="9" t="s">
        <v>2627</v>
      </c>
      <c r="E138" s="9" t="s">
        <v>2627</v>
      </c>
      <c r="F138" s="9" t="s">
        <v>2628</v>
      </c>
      <c r="G138" s="8">
        <v>4.67</v>
      </c>
      <c r="H138" s="8">
        <v>10.3</v>
      </c>
      <c r="I138" s="8" t="s">
        <v>21</v>
      </c>
    </row>
    <row r="139" spans="1:9" ht="12.5">
      <c r="A139" s="20">
        <v>1145300</v>
      </c>
      <c r="B139" s="9" t="s">
        <v>102</v>
      </c>
      <c r="C139" s="9" t="s">
        <v>2629</v>
      </c>
      <c r="D139" s="9" t="s">
        <v>2630</v>
      </c>
      <c r="E139" s="9" t="s">
        <v>2631</v>
      </c>
      <c r="F139" s="9" t="s">
        <v>2632</v>
      </c>
      <c r="G139" s="8">
        <v>4.5199999999999996</v>
      </c>
      <c r="H139" s="8">
        <v>7.3</v>
      </c>
      <c r="I139" s="8" t="s">
        <v>72</v>
      </c>
    </row>
    <row r="140" spans="1:9" ht="12.5">
      <c r="A140" s="20">
        <v>1480378</v>
      </c>
      <c r="B140" s="9" t="s">
        <v>102</v>
      </c>
      <c r="C140" s="9" t="s">
        <v>116</v>
      </c>
      <c r="D140" s="9" t="s">
        <v>2633</v>
      </c>
      <c r="E140" s="9" t="s">
        <v>2634</v>
      </c>
      <c r="F140" s="9" t="s">
        <v>2635</v>
      </c>
      <c r="G140" s="8">
        <v>4.6100000000000003</v>
      </c>
      <c r="H140" s="8">
        <v>17.899999999999999</v>
      </c>
      <c r="I140" s="8" t="s">
        <v>17</v>
      </c>
    </row>
    <row r="141" spans="1:9" ht="12.5">
      <c r="A141" s="20">
        <v>1652136</v>
      </c>
      <c r="B141" s="9" t="s">
        <v>102</v>
      </c>
      <c r="C141" s="9" t="s">
        <v>106</v>
      </c>
      <c r="D141" s="9" t="s">
        <v>2636</v>
      </c>
      <c r="E141" s="9" t="s">
        <v>2637</v>
      </c>
      <c r="F141" s="9" t="s">
        <v>2575</v>
      </c>
      <c r="G141" s="8">
        <v>4.58</v>
      </c>
      <c r="H141" s="8">
        <v>8.6</v>
      </c>
      <c r="I141" s="8" t="s">
        <v>21</v>
      </c>
    </row>
    <row r="142" spans="1:9" ht="12.5">
      <c r="A142" s="20">
        <v>1693778</v>
      </c>
      <c r="B142" s="9" t="s">
        <v>102</v>
      </c>
      <c r="C142" s="9" t="s">
        <v>116</v>
      </c>
      <c r="D142" s="9" t="s">
        <v>2638</v>
      </c>
      <c r="E142" s="9" t="s">
        <v>2639</v>
      </c>
      <c r="F142" s="9" t="s">
        <v>2640</v>
      </c>
      <c r="G142" s="8">
        <v>4.8899999999999997</v>
      </c>
      <c r="H142" s="8">
        <v>9.9</v>
      </c>
      <c r="I142" s="8" t="s">
        <v>21</v>
      </c>
    </row>
    <row r="143" spans="1:9" ht="12.5">
      <c r="A143" s="20">
        <v>2522198</v>
      </c>
      <c r="B143" s="9" t="s">
        <v>102</v>
      </c>
      <c r="C143" s="9" t="s">
        <v>110</v>
      </c>
      <c r="D143" s="9" t="s">
        <v>2641</v>
      </c>
      <c r="E143" s="9" t="s">
        <v>2642</v>
      </c>
      <c r="F143" s="9" t="s">
        <v>2640</v>
      </c>
      <c r="G143" s="8">
        <v>4.72</v>
      </c>
      <c r="H143" s="8">
        <v>6.8</v>
      </c>
      <c r="I143" s="8" t="s">
        <v>21</v>
      </c>
    </row>
    <row r="144" spans="1:9" ht="12.5">
      <c r="A144" s="20">
        <v>1107112</v>
      </c>
      <c r="B144" s="9" t="s">
        <v>102</v>
      </c>
      <c r="C144" s="9" t="s">
        <v>116</v>
      </c>
      <c r="D144" s="9" t="s">
        <v>2643</v>
      </c>
      <c r="E144" s="9" t="s">
        <v>2644</v>
      </c>
      <c r="F144" s="9" t="s">
        <v>2645</v>
      </c>
      <c r="G144" s="8">
        <v>4.66</v>
      </c>
      <c r="H144" s="8">
        <v>1.6</v>
      </c>
      <c r="I144" s="8" t="s">
        <v>17</v>
      </c>
    </row>
    <row r="145" spans="1:9" ht="12.5">
      <c r="A145" s="20">
        <v>1442204</v>
      </c>
      <c r="B145" s="9" t="s">
        <v>102</v>
      </c>
      <c r="C145" s="9" t="s">
        <v>110</v>
      </c>
      <c r="D145" s="9" t="s">
        <v>2646</v>
      </c>
      <c r="E145" s="9" t="s">
        <v>2647</v>
      </c>
      <c r="F145" s="9" t="s">
        <v>2648</v>
      </c>
      <c r="G145" s="8">
        <v>4.5199999999999996</v>
      </c>
      <c r="H145" s="8">
        <v>11.1</v>
      </c>
      <c r="I145" s="8" t="s">
        <v>21</v>
      </c>
    </row>
    <row r="146" spans="1:9" ht="12.5">
      <c r="A146" s="20">
        <v>1503540</v>
      </c>
      <c r="B146" s="9" t="s">
        <v>102</v>
      </c>
      <c r="C146" s="9" t="s">
        <v>116</v>
      </c>
      <c r="D146" s="9" t="s">
        <v>2649</v>
      </c>
      <c r="E146" s="9" t="s">
        <v>2650</v>
      </c>
      <c r="F146" s="9" t="s">
        <v>2570</v>
      </c>
      <c r="G146" s="8">
        <v>4.6399999999999997</v>
      </c>
      <c r="H146" s="8">
        <v>12.2</v>
      </c>
      <c r="I146" s="8" t="s">
        <v>21</v>
      </c>
    </row>
    <row r="147" spans="1:9" ht="12.5">
      <c r="A147" s="20">
        <v>1769052</v>
      </c>
      <c r="B147" s="9" t="s">
        <v>102</v>
      </c>
      <c r="C147" s="9" t="s">
        <v>103</v>
      </c>
      <c r="D147" s="9" t="s">
        <v>2651</v>
      </c>
      <c r="E147" s="9" t="s">
        <v>2652</v>
      </c>
      <c r="F147" s="9" t="s">
        <v>2581</v>
      </c>
      <c r="G147" s="8">
        <v>4.59</v>
      </c>
      <c r="H147" s="8">
        <v>8.1</v>
      </c>
      <c r="I147" s="8" t="s">
        <v>21</v>
      </c>
    </row>
    <row r="148" spans="1:9" ht="12.5">
      <c r="A148" s="20">
        <v>1835854</v>
      </c>
      <c r="B148" s="9" t="s">
        <v>102</v>
      </c>
      <c r="C148" s="9" t="s">
        <v>116</v>
      </c>
      <c r="D148" s="9" t="s">
        <v>2653</v>
      </c>
      <c r="E148" s="9" t="s">
        <v>2654</v>
      </c>
      <c r="F148" s="9" t="s">
        <v>2655</v>
      </c>
      <c r="G148" s="8">
        <v>4.5999999999999996</v>
      </c>
      <c r="H148" s="8">
        <v>10.3</v>
      </c>
      <c r="I148" s="8" t="s">
        <v>17</v>
      </c>
    </row>
    <row r="149" spans="1:9" ht="12.5">
      <c r="A149" s="20">
        <v>1862698</v>
      </c>
      <c r="B149" s="9" t="s">
        <v>102</v>
      </c>
      <c r="C149" s="9" t="s">
        <v>192</v>
      </c>
      <c r="D149" s="9" t="s">
        <v>2656</v>
      </c>
      <c r="E149" s="9" t="s">
        <v>2657</v>
      </c>
      <c r="F149" s="9" t="s">
        <v>2658</v>
      </c>
      <c r="G149" s="8">
        <v>4.72</v>
      </c>
      <c r="H149" s="8">
        <v>14.9</v>
      </c>
      <c r="I149" s="8" t="s">
        <v>72</v>
      </c>
    </row>
    <row r="150" spans="1:9" ht="12.5">
      <c r="A150" s="20">
        <v>1902952</v>
      </c>
      <c r="B150" s="9" t="s">
        <v>102</v>
      </c>
      <c r="C150" s="9" t="s">
        <v>106</v>
      </c>
      <c r="D150" s="9" t="s">
        <v>2659</v>
      </c>
      <c r="E150" s="9" t="s">
        <v>2660</v>
      </c>
      <c r="F150" s="9" t="s">
        <v>2554</v>
      </c>
      <c r="G150" s="8">
        <v>4.5</v>
      </c>
      <c r="H150" s="8">
        <v>5.9</v>
      </c>
      <c r="I150" s="8" t="s">
        <v>17</v>
      </c>
    </row>
    <row r="151" spans="1:9" ht="12.5">
      <c r="A151" s="20">
        <v>1962346</v>
      </c>
      <c r="B151" s="9" t="s">
        <v>102</v>
      </c>
      <c r="C151" s="9" t="s">
        <v>116</v>
      </c>
      <c r="D151" s="9" t="s">
        <v>2661</v>
      </c>
      <c r="E151" s="9" t="s">
        <v>2662</v>
      </c>
      <c r="F151" s="9" t="s">
        <v>2663</v>
      </c>
      <c r="G151" s="8">
        <v>4.66</v>
      </c>
      <c r="H151" s="8">
        <v>10.6</v>
      </c>
      <c r="I151" s="8" t="s">
        <v>21</v>
      </c>
    </row>
    <row r="152" spans="1:9" ht="12.5">
      <c r="A152" s="20">
        <v>2020670</v>
      </c>
      <c r="B152" s="9" t="s">
        <v>102</v>
      </c>
      <c r="C152" s="9" t="s">
        <v>116</v>
      </c>
      <c r="D152" s="9" t="s">
        <v>2664</v>
      </c>
      <c r="E152" s="9" t="s">
        <v>2665</v>
      </c>
      <c r="F152" s="9" t="s">
        <v>2581</v>
      </c>
      <c r="G152" s="8">
        <v>4.66</v>
      </c>
      <c r="H152" s="8">
        <v>2.9</v>
      </c>
      <c r="I152" s="8" t="s">
        <v>17</v>
      </c>
    </row>
    <row r="153" spans="1:9" ht="12.5">
      <c r="A153" s="20">
        <v>2169120</v>
      </c>
      <c r="B153" s="9" t="s">
        <v>102</v>
      </c>
      <c r="C153" s="9" t="s">
        <v>116</v>
      </c>
      <c r="D153" s="9" t="s">
        <v>2666</v>
      </c>
      <c r="E153" s="9" t="s">
        <v>2667</v>
      </c>
      <c r="F153" s="9" t="s">
        <v>2668</v>
      </c>
      <c r="G153" s="8">
        <v>4.6500000000000004</v>
      </c>
      <c r="H153" s="8">
        <v>20.9</v>
      </c>
      <c r="I153" s="8" t="s">
        <v>21</v>
      </c>
    </row>
    <row r="154" spans="1:9" ht="12.5">
      <c r="A154" s="20">
        <v>996216</v>
      </c>
      <c r="B154" s="9" t="s">
        <v>102</v>
      </c>
      <c r="C154" s="9" t="s">
        <v>116</v>
      </c>
      <c r="D154" s="9" t="s">
        <v>2669</v>
      </c>
      <c r="E154" s="9" t="s">
        <v>2670</v>
      </c>
      <c r="F154" s="9" t="s">
        <v>2584</v>
      </c>
      <c r="G154" s="8">
        <v>4.54</v>
      </c>
      <c r="H154" s="8">
        <v>5.4</v>
      </c>
      <c r="I154" s="8" t="s">
        <v>17</v>
      </c>
    </row>
    <row r="155" spans="1:9" ht="12.5">
      <c r="A155" s="20">
        <v>1088438</v>
      </c>
      <c r="B155" s="9" t="s">
        <v>102</v>
      </c>
      <c r="C155" s="9" t="s">
        <v>2629</v>
      </c>
      <c r="D155" s="9" t="s">
        <v>2671</v>
      </c>
      <c r="E155" s="9" t="s">
        <v>2672</v>
      </c>
      <c r="F155" s="9" t="s">
        <v>2673</v>
      </c>
      <c r="G155" s="8">
        <v>4.49</v>
      </c>
      <c r="H155" s="8">
        <v>21.9</v>
      </c>
      <c r="I155" s="8" t="s">
        <v>17</v>
      </c>
    </row>
    <row r="156" spans="1:9" ht="12.5">
      <c r="A156" s="20">
        <v>1329648</v>
      </c>
      <c r="B156" s="9" t="s">
        <v>102</v>
      </c>
      <c r="C156" s="9" t="s">
        <v>2629</v>
      </c>
      <c r="D156" s="9" t="s">
        <v>2674</v>
      </c>
      <c r="E156" s="9" t="s">
        <v>2675</v>
      </c>
      <c r="F156" s="9" t="s">
        <v>2676</v>
      </c>
      <c r="G156" s="8">
        <v>4.9000000000000004</v>
      </c>
      <c r="H156" s="8">
        <v>9.5</v>
      </c>
      <c r="I156" s="8" t="s">
        <v>72</v>
      </c>
    </row>
    <row r="157" spans="1:9" ht="12.5">
      <c r="A157" s="20">
        <v>1406622</v>
      </c>
      <c r="B157" s="9" t="s">
        <v>102</v>
      </c>
      <c r="C157" s="9" t="s">
        <v>192</v>
      </c>
      <c r="D157" s="9" t="s">
        <v>2677</v>
      </c>
      <c r="E157" s="9" t="s">
        <v>2678</v>
      </c>
      <c r="F157" s="9" t="s">
        <v>2676</v>
      </c>
      <c r="G157" s="8">
        <v>4.83</v>
      </c>
      <c r="H157" s="8">
        <v>19</v>
      </c>
      <c r="I157" s="8" t="s">
        <v>17</v>
      </c>
    </row>
    <row r="158" spans="1:9" ht="12.5">
      <c r="A158" s="20">
        <v>1866008</v>
      </c>
      <c r="B158" s="9" t="s">
        <v>102</v>
      </c>
      <c r="C158" s="9" t="s">
        <v>116</v>
      </c>
      <c r="D158" s="9" t="s">
        <v>2679</v>
      </c>
      <c r="E158" s="9" t="s">
        <v>2680</v>
      </c>
      <c r="F158" s="9" t="s">
        <v>2681</v>
      </c>
      <c r="G158" s="8">
        <v>4.5999999999999996</v>
      </c>
      <c r="H158" s="8">
        <v>12.9</v>
      </c>
      <c r="I158" s="8" t="s">
        <v>21</v>
      </c>
    </row>
    <row r="159" spans="1:9" ht="12.5">
      <c r="A159" s="20">
        <v>2073136</v>
      </c>
      <c r="B159" s="9" t="s">
        <v>102</v>
      </c>
      <c r="C159" s="9" t="s">
        <v>192</v>
      </c>
      <c r="D159" s="9" t="s">
        <v>2682</v>
      </c>
      <c r="E159" s="9" t="s">
        <v>2682</v>
      </c>
      <c r="F159" s="9" t="s">
        <v>2683</v>
      </c>
      <c r="G159" s="8">
        <v>4.47</v>
      </c>
      <c r="H159" s="8">
        <v>16.2</v>
      </c>
      <c r="I159" s="8" t="s">
        <v>72</v>
      </c>
    </row>
    <row r="160" spans="1:9" ht="12.5">
      <c r="A160" s="20">
        <v>2307584</v>
      </c>
      <c r="B160" s="9" t="s">
        <v>102</v>
      </c>
      <c r="C160" s="9" t="s">
        <v>110</v>
      </c>
      <c r="D160" s="9" t="s">
        <v>2684</v>
      </c>
      <c r="E160" s="9" t="s">
        <v>2685</v>
      </c>
      <c r="F160" s="9" t="s">
        <v>2686</v>
      </c>
      <c r="G160" s="8">
        <v>4.62</v>
      </c>
      <c r="H160" s="8">
        <v>24.8</v>
      </c>
      <c r="I160" s="8" t="s">
        <v>21</v>
      </c>
    </row>
    <row r="161" spans="1:9" ht="12.5">
      <c r="A161" s="20">
        <v>1729128</v>
      </c>
      <c r="B161" s="9" t="s">
        <v>102</v>
      </c>
      <c r="C161" s="9" t="s">
        <v>2629</v>
      </c>
      <c r="D161" s="9" t="s">
        <v>2687</v>
      </c>
      <c r="E161" s="9" t="s">
        <v>2688</v>
      </c>
      <c r="F161" s="9" t="s">
        <v>2689</v>
      </c>
      <c r="G161" s="8">
        <v>4.3</v>
      </c>
      <c r="H161" s="8">
        <v>4.2</v>
      </c>
      <c r="I161" s="8" t="s">
        <v>21</v>
      </c>
    </row>
    <row r="162" spans="1:9" ht="12.5">
      <c r="A162" s="20">
        <v>1902956</v>
      </c>
      <c r="B162" s="9" t="s">
        <v>102</v>
      </c>
      <c r="C162" s="9" t="s">
        <v>116</v>
      </c>
      <c r="D162" s="9" t="s">
        <v>2690</v>
      </c>
      <c r="E162" s="9" t="s">
        <v>2691</v>
      </c>
      <c r="F162" s="9" t="s">
        <v>2554</v>
      </c>
      <c r="G162" s="8">
        <v>4.8099999999999996</v>
      </c>
      <c r="H162" s="8">
        <v>6.2</v>
      </c>
      <c r="I162" s="8" t="s">
        <v>17</v>
      </c>
    </row>
    <row r="163" spans="1:9" ht="12.5">
      <c r="A163" s="20">
        <v>2214354</v>
      </c>
      <c r="B163" s="9" t="s">
        <v>102</v>
      </c>
      <c r="C163" s="9" t="s">
        <v>103</v>
      </c>
      <c r="D163" s="9" t="s">
        <v>2692</v>
      </c>
      <c r="E163" s="9" t="s">
        <v>2693</v>
      </c>
      <c r="F163" s="9" t="s">
        <v>2694</v>
      </c>
      <c r="G163" s="8">
        <v>4.62</v>
      </c>
      <c r="H163" s="8">
        <v>2.5</v>
      </c>
      <c r="I163" s="8" t="s">
        <v>72</v>
      </c>
    </row>
    <row r="164" spans="1:9" ht="12.5">
      <c r="A164" s="20">
        <v>1228144</v>
      </c>
      <c r="B164" s="9" t="s">
        <v>102</v>
      </c>
      <c r="C164" s="9" t="s">
        <v>110</v>
      </c>
      <c r="D164" s="9" t="s">
        <v>2695</v>
      </c>
      <c r="E164" s="9" t="s">
        <v>2696</v>
      </c>
      <c r="F164" s="9" t="s">
        <v>2584</v>
      </c>
      <c r="G164" s="8">
        <v>4.74</v>
      </c>
      <c r="H164" s="8">
        <v>14.2</v>
      </c>
      <c r="I164" s="8" t="s">
        <v>17</v>
      </c>
    </row>
    <row r="165" spans="1:9" ht="12.5">
      <c r="A165" s="20">
        <v>1267492</v>
      </c>
      <c r="B165" s="9" t="s">
        <v>102</v>
      </c>
      <c r="C165" s="9" t="s">
        <v>192</v>
      </c>
      <c r="D165" s="9" t="s">
        <v>2697</v>
      </c>
      <c r="E165" s="9" t="s">
        <v>2698</v>
      </c>
      <c r="F165" s="9" t="s">
        <v>2681</v>
      </c>
      <c r="G165" s="8">
        <v>4.7300000000000004</v>
      </c>
      <c r="H165" s="8">
        <v>16.2</v>
      </c>
      <c r="I165" s="8" t="s">
        <v>21</v>
      </c>
    </row>
    <row r="166" spans="1:9" ht="12.5">
      <c r="A166" s="20">
        <v>1738426</v>
      </c>
      <c r="B166" s="9" t="s">
        <v>102</v>
      </c>
      <c r="C166" s="9" t="s">
        <v>116</v>
      </c>
      <c r="D166" s="9" t="s">
        <v>2699</v>
      </c>
      <c r="E166" s="9" t="s">
        <v>2700</v>
      </c>
      <c r="F166" s="9" t="s">
        <v>2570</v>
      </c>
      <c r="G166" s="8">
        <v>4.49</v>
      </c>
      <c r="H166" s="8">
        <v>8.9</v>
      </c>
      <c r="I166" s="8" t="s">
        <v>21</v>
      </c>
    </row>
    <row r="167" spans="1:9" ht="12.5">
      <c r="A167" s="20">
        <v>2174090</v>
      </c>
      <c r="B167" s="9" t="s">
        <v>102</v>
      </c>
      <c r="C167" s="9" t="s">
        <v>192</v>
      </c>
      <c r="D167" s="9" t="s">
        <v>2701</v>
      </c>
      <c r="E167" s="9" t="s">
        <v>2702</v>
      </c>
      <c r="F167" s="9" t="s">
        <v>2655</v>
      </c>
      <c r="G167" s="8">
        <v>4.62</v>
      </c>
      <c r="H167" s="8">
        <v>9.6</v>
      </c>
      <c r="I167" s="8" t="s">
        <v>17</v>
      </c>
    </row>
    <row r="168" spans="1:9" ht="12.5">
      <c r="A168" s="20">
        <v>2473946</v>
      </c>
      <c r="B168" s="9" t="s">
        <v>102</v>
      </c>
      <c r="C168" s="9" t="s">
        <v>192</v>
      </c>
      <c r="D168" s="9" t="s">
        <v>2703</v>
      </c>
      <c r="E168" s="9" t="s">
        <v>2704</v>
      </c>
      <c r="F168" s="9" t="s">
        <v>2705</v>
      </c>
      <c r="G168" s="8">
        <v>4.6500000000000004</v>
      </c>
      <c r="H168" s="8">
        <v>20.2</v>
      </c>
      <c r="I168" s="8" t="s">
        <v>21</v>
      </c>
    </row>
    <row r="169" spans="1:9" ht="12.5">
      <c r="A169" s="20">
        <v>2610618</v>
      </c>
      <c r="B169" s="9" t="s">
        <v>102</v>
      </c>
      <c r="C169" s="9" t="s">
        <v>2629</v>
      </c>
      <c r="D169" s="9" t="s">
        <v>2706</v>
      </c>
      <c r="E169" s="9" t="s">
        <v>2707</v>
      </c>
      <c r="F169" s="9" t="s">
        <v>2708</v>
      </c>
      <c r="G169" s="8">
        <v>4.92</v>
      </c>
      <c r="H169" s="8">
        <v>7.1</v>
      </c>
      <c r="I169" s="8" t="s">
        <v>17</v>
      </c>
    </row>
    <row r="170" spans="1:9" ht="12.5">
      <c r="A170" s="20">
        <v>3048582</v>
      </c>
      <c r="B170" s="9" t="s">
        <v>102</v>
      </c>
      <c r="C170" s="9" t="s">
        <v>106</v>
      </c>
      <c r="D170" s="9" t="s">
        <v>2709</v>
      </c>
      <c r="E170" s="9" t="s">
        <v>2710</v>
      </c>
      <c r="F170" s="9" t="s">
        <v>2711</v>
      </c>
      <c r="G170" s="8">
        <v>4.59</v>
      </c>
      <c r="H170" s="8">
        <v>7.9</v>
      </c>
      <c r="I170" s="8" t="s">
        <v>21</v>
      </c>
    </row>
    <row r="171" spans="1:9" ht="12.5">
      <c r="A171" s="20">
        <v>852158</v>
      </c>
      <c r="B171" s="9" t="s">
        <v>102</v>
      </c>
      <c r="C171" s="9" t="s">
        <v>192</v>
      </c>
      <c r="D171" s="9" t="s">
        <v>2712</v>
      </c>
      <c r="E171" s="9" t="s">
        <v>2713</v>
      </c>
      <c r="F171" s="9" t="s">
        <v>2714</v>
      </c>
      <c r="G171" s="8">
        <v>4.0599999999999996</v>
      </c>
      <c r="H171" s="8">
        <v>11.2</v>
      </c>
      <c r="I171" s="8" t="s">
        <v>17</v>
      </c>
    </row>
    <row r="172" spans="1:9" ht="12.5">
      <c r="A172" s="20">
        <v>1566242</v>
      </c>
      <c r="B172" s="9" t="s">
        <v>102</v>
      </c>
      <c r="C172" s="9" t="s">
        <v>192</v>
      </c>
      <c r="D172" s="9" t="s">
        <v>2715</v>
      </c>
      <c r="E172" s="9" t="s">
        <v>2716</v>
      </c>
      <c r="F172" s="9" t="s">
        <v>2717</v>
      </c>
      <c r="G172" s="8">
        <v>4.6500000000000004</v>
      </c>
      <c r="H172" s="8">
        <v>12.2</v>
      </c>
      <c r="I172" s="8" t="s">
        <v>72</v>
      </c>
    </row>
    <row r="173" spans="1:9" ht="12.5">
      <c r="A173" s="20">
        <v>1654852</v>
      </c>
      <c r="B173" s="9" t="s">
        <v>102</v>
      </c>
      <c r="C173" s="9" t="s">
        <v>116</v>
      </c>
      <c r="D173" s="9" t="s">
        <v>2718</v>
      </c>
      <c r="E173" s="9" t="s">
        <v>2719</v>
      </c>
      <c r="F173" s="9" t="s">
        <v>2720</v>
      </c>
      <c r="G173" s="8">
        <v>4.58</v>
      </c>
      <c r="H173" s="8">
        <v>29.7</v>
      </c>
      <c r="I173" s="8" t="s">
        <v>21</v>
      </c>
    </row>
    <row r="174" spans="1:9" ht="12.5">
      <c r="A174" s="20">
        <v>1835922</v>
      </c>
      <c r="B174" s="9" t="s">
        <v>102</v>
      </c>
      <c r="C174" s="9" t="s">
        <v>116</v>
      </c>
      <c r="D174" s="9" t="s">
        <v>2721</v>
      </c>
      <c r="E174" s="9" t="s">
        <v>2722</v>
      </c>
      <c r="F174" s="9" t="s">
        <v>2604</v>
      </c>
      <c r="G174" s="8">
        <v>4.75</v>
      </c>
      <c r="H174" s="8">
        <v>25.1</v>
      </c>
      <c r="I174" s="8" t="s">
        <v>21</v>
      </c>
    </row>
    <row r="175" spans="1:9" ht="12.5">
      <c r="A175" s="20">
        <v>1905860</v>
      </c>
      <c r="B175" s="9" t="s">
        <v>102</v>
      </c>
      <c r="C175" s="9" t="s">
        <v>192</v>
      </c>
      <c r="D175" s="9" t="s">
        <v>2723</v>
      </c>
      <c r="E175" s="9" t="s">
        <v>2724</v>
      </c>
      <c r="F175" s="9" t="s">
        <v>2610</v>
      </c>
      <c r="G175" s="8">
        <v>4.4800000000000004</v>
      </c>
      <c r="H175" s="8">
        <v>21.4</v>
      </c>
      <c r="I175" s="8" t="s">
        <v>21</v>
      </c>
    </row>
    <row r="176" spans="1:9" ht="12.5">
      <c r="A176" s="20">
        <v>1917186</v>
      </c>
      <c r="B176" s="9" t="s">
        <v>102</v>
      </c>
      <c r="C176" s="9" t="s">
        <v>116</v>
      </c>
      <c r="D176" s="9" t="s">
        <v>2725</v>
      </c>
      <c r="E176" s="9" t="s">
        <v>2726</v>
      </c>
      <c r="F176" s="9" t="s">
        <v>2655</v>
      </c>
      <c r="G176" s="8">
        <v>4.6100000000000003</v>
      </c>
      <c r="H176" s="8">
        <v>8</v>
      </c>
      <c r="I176" s="8" t="s">
        <v>17</v>
      </c>
    </row>
    <row r="177" spans="1:9" ht="12.5">
      <c r="A177" s="20">
        <v>2288865</v>
      </c>
      <c r="B177" s="9" t="s">
        <v>102</v>
      </c>
      <c r="C177" s="9" t="s">
        <v>106</v>
      </c>
      <c r="D177" s="9" t="s">
        <v>2727</v>
      </c>
      <c r="E177" s="9" t="s">
        <v>2727</v>
      </c>
      <c r="F177" s="9" t="s">
        <v>2728</v>
      </c>
      <c r="G177" s="8">
        <v>4.7</v>
      </c>
      <c r="H177" s="8">
        <v>2.5</v>
      </c>
      <c r="I177" s="8" t="s">
        <v>72</v>
      </c>
    </row>
    <row r="178" spans="1:9" ht="12.5">
      <c r="A178" s="20">
        <v>2631570</v>
      </c>
      <c r="B178" s="9" t="s">
        <v>102</v>
      </c>
      <c r="C178" s="9" t="s">
        <v>192</v>
      </c>
      <c r="D178" s="9" t="s">
        <v>2729</v>
      </c>
      <c r="E178" s="9" t="s">
        <v>2730</v>
      </c>
      <c r="F178" s="9" t="s">
        <v>2731</v>
      </c>
      <c r="G178" s="8">
        <v>4.37</v>
      </c>
      <c r="H178" s="8">
        <v>59.5</v>
      </c>
      <c r="I178" s="8" t="s">
        <v>21</v>
      </c>
    </row>
    <row r="179" spans="1:9" ht="12.5">
      <c r="A179" s="20">
        <v>1246168</v>
      </c>
      <c r="B179" s="9" t="s">
        <v>102</v>
      </c>
      <c r="C179" s="9" t="s">
        <v>116</v>
      </c>
      <c r="D179" s="9" t="s">
        <v>2732</v>
      </c>
      <c r="E179" s="9" t="s">
        <v>2733</v>
      </c>
      <c r="F179" s="9" t="s">
        <v>2686</v>
      </c>
      <c r="G179" s="8">
        <v>4.5199999999999996</v>
      </c>
      <c r="H179" s="8">
        <v>15.9</v>
      </c>
      <c r="I179" s="8" t="s">
        <v>21</v>
      </c>
    </row>
    <row r="180" spans="1:9" ht="12.5">
      <c r="A180" s="20">
        <v>1390244</v>
      </c>
      <c r="B180" s="9" t="s">
        <v>102</v>
      </c>
      <c r="C180" s="9" t="s">
        <v>192</v>
      </c>
      <c r="D180" s="9" t="s">
        <v>2734</v>
      </c>
      <c r="E180" s="9" t="s">
        <v>2735</v>
      </c>
      <c r="F180" s="9" t="s">
        <v>2681</v>
      </c>
      <c r="G180" s="8">
        <v>4.74</v>
      </c>
      <c r="H180" s="8">
        <v>6.8</v>
      </c>
      <c r="I180" s="8" t="s">
        <v>21</v>
      </c>
    </row>
    <row r="181" spans="1:9" ht="12.5">
      <c r="A181" s="20">
        <v>1758672</v>
      </c>
      <c r="B181" s="9" t="s">
        <v>102</v>
      </c>
      <c r="C181" s="9" t="s">
        <v>192</v>
      </c>
      <c r="D181" s="9" t="s">
        <v>2736</v>
      </c>
      <c r="E181" s="9" t="s">
        <v>2737</v>
      </c>
      <c r="F181" s="9" t="s">
        <v>2717</v>
      </c>
      <c r="G181" s="8">
        <v>4.6399999999999997</v>
      </c>
      <c r="H181" s="8">
        <v>9.1999999999999993</v>
      </c>
      <c r="I181" s="8" t="s">
        <v>72</v>
      </c>
    </row>
    <row r="182" spans="1:9" ht="12.5">
      <c r="A182" s="20">
        <v>1854046</v>
      </c>
      <c r="B182" s="9" t="s">
        <v>102</v>
      </c>
      <c r="C182" s="9" t="s">
        <v>116</v>
      </c>
      <c r="D182" s="9" t="s">
        <v>2738</v>
      </c>
      <c r="E182" s="9" t="s">
        <v>2739</v>
      </c>
      <c r="F182" s="9" t="s">
        <v>2740</v>
      </c>
      <c r="G182" s="8">
        <v>4.53</v>
      </c>
      <c r="H182" s="8">
        <v>3.4</v>
      </c>
      <c r="I182" s="8" t="s">
        <v>21</v>
      </c>
    </row>
    <row r="183" spans="1:9" ht="12.5">
      <c r="A183" s="20">
        <v>1982934</v>
      </c>
      <c r="B183" s="9" t="s">
        <v>102</v>
      </c>
      <c r="C183" s="9" t="s">
        <v>192</v>
      </c>
      <c r="D183" s="9" t="s">
        <v>2741</v>
      </c>
      <c r="E183" s="9" t="s">
        <v>2742</v>
      </c>
      <c r="F183" s="9" t="s">
        <v>2658</v>
      </c>
      <c r="G183" s="8">
        <v>4.9400000000000004</v>
      </c>
      <c r="H183" s="8">
        <v>10.7</v>
      </c>
      <c r="I183" s="8" t="s">
        <v>17</v>
      </c>
    </row>
    <row r="184" spans="1:9" ht="12.5">
      <c r="A184" s="20">
        <v>2315854</v>
      </c>
      <c r="B184" s="9" t="s">
        <v>102</v>
      </c>
      <c r="C184" s="9" t="s">
        <v>116</v>
      </c>
      <c r="D184" s="9" t="s">
        <v>2743</v>
      </c>
      <c r="E184" s="9" t="s">
        <v>2744</v>
      </c>
      <c r="F184" s="9" t="s">
        <v>2587</v>
      </c>
      <c r="G184" s="8">
        <v>4.6100000000000003</v>
      </c>
      <c r="H184" s="8">
        <v>8.6999999999999993</v>
      </c>
      <c r="I184" s="8" t="s">
        <v>72</v>
      </c>
    </row>
    <row r="185" spans="1:9" ht="12.5">
      <c r="A185" s="20">
        <v>2372240</v>
      </c>
      <c r="B185" s="9" t="s">
        <v>102</v>
      </c>
      <c r="C185" s="9" t="s">
        <v>106</v>
      </c>
      <c r="D185" s="9" t="s">
        <v>2745</v>
      </c>
      <c r="E185" s="9" t="s">
        <v>2746</v>
      </c>
      <c r="F185" s="9" t="s">
        <v>2578</v>
      </c>
      <c r="G185" s="8">
        <v>4.88</v>
      </c>
      <c r="H185" s="8">
        <v>7.4</v>
      </c>
      <c r="I185" s="8" t="s">
        <v>21</v>
      </c>
    </row>
    <row r="186" spans="1:9" ht="12.5">
      <c r="A186" s="20">
        <v>2640528</v>
      </c>
      <c r="B186" s="9" t="s">
        <v>102</v>
      </c>
      <c r="C186" s="9" t="s">
        <v>110</v>
      </c>
      <c r="D186" s="9" t="s">
        <v>2747</v>
      </c>
      <c r="E186" s="9" t="s">
        <v>2748</v>
      </c>
      <c r="F186" s="9" t="s">
        <v>2681</v>
      </c>
      <c r="G186" s="8">
        <v>4.5599999999999996</v>
      </c>
      <c r="H186" s="8">
        <v>12.4</v>
      </c>
      <c r="I186" s="8" t="s">
        <v>17</v>
      </c>
    </row>
    <row r="187" spans="1:9" ht="12.5">
      <c r="A187" s="20">
        <v>1055096</v>
      </c>
      <c r="B187" s="9" t="s">
        <v>102</v>
      </c>
      <c r="C187" s="9" t="s">
        <v>103</v>
      </c>
      <c r="D187" s="9" t="s">
        <v>2749</v>
      </c>
      <c r="E187" s="9" t="s">
        <v>2750</v>
      </c>
      <c r="F187" s="9" t="s">
        <v>2751</v>
      </c>
      <c r="G187" s="8">
        <v>4.3</v>
      </c>
      <c r="H187" s="8">
        <v>19.399999999999999</v>
      </c>
      <c r="I187" s="8" t="s">
        <v>72</v>
      </c>
    </row>
    <row r="188" spans="1:9" ht="12.5">
      <c r="A188" s="20">
        <v>1415038</v>
      </c>
      <c r="B188" s="9" t="s">
        <v>102</v>
      </c>
      <c r="C188" s="9" t="s">
        <v>116</v>
      </c>
      <c r="D188" s="9" t="s">
        <v>2752</v>
      </c>
      <c r="E188" s="9" t="s">
        <v>2753</v>
      </c>
      <c r="F188" s="9" t="s">
        <v>2754</v>
      </c>
      <c r="G188" s="8">
        <v>4.82</v>
      </c>
      <c r="H188" s="8">
        <v>3.8</v>
      </c>
      <c r="I188" s="8" t="s">
        <v>21</v>
      </c>
    </row>
    <row r="189" spans="1:9" ht="12.5">
      <c r="A189" s="20">
        <v>1985780</v>
      </c>
      <c r="B189" s="9" t="s">
        <v>102</v>
      </c>
      <c r="C189" s="9" t="s">
        <v>110</v>
      </c>
      <c r="D189" s="9" t="s">
        <v>2755</v>
      </c>
      <c r="E189" s="9" t="s">
        <v>2756</v>
      </c>
      <c r="F189" s="9" t="s">
        <v>2570</v>
      </c>
      <c r="G189" s="8">
        <v>4.78</v>
      </c>
      <c r="H189" s="8">
        <v>10.8</v>
      </c>
      <c r="I189" s="8" t="s">
        <v>21</v>
      </c>
    </row>
    <row r="190" spans="1:9" ht="12.5">
      <c r="A190" s="20">
        <v>2842054</v>
      </c>
      <c r="B190" s="9" t="s">
        <v>102</v>
      </c>
      <c r="C190" s="9" t="s">
        <v>110</v>
      </c>
      <c r="D190" s="9" t="s">
        <v>2757</v>
      </c>
      <c r="E190" s="9" t="s">
        <v>2758</v>
      </c>
      <c r="F190" s="9" t="s">
        <v>2610</v>
      </c>
      <c r="G190" s="8">
        <v>4.82</v>
      </c>
      <c r="H190" s="8">
        <v>14.2</v>
      </c>
      <c r="I190" s="8" t="s">
        <v>21</v>
      </c>
    </row>
    <row r="191" spans="1:9" ht="12.5">
      <c r="A191" s="20">
        <v>3298438</v>
      </c>
      <c r="B191" s="9" t="s">
        <v>102</v>
      </c>
      <c r="C191" s="9" t="s">
        <v>110</v>
      </c>
      <c r="D191" s="9" t="s">
        <v>2759</v>
      </c>
      <c r="E191" s="9" t="s">
        <v>2760</v>
      </c>
      <c r="F191" s="9" t="s">
        <v>2761</v>
      </c>
      <c r="G191" s="8">
        <v>4.67</v>
      </c>
      <c r="H191" s="8">
        <v>15.9</v>
      </c>
      <c r="I191" s="8" t="s">
        <v>17</v>
      </c>
    </row>
    <row r="192" spans="1:9" ht="12.5">
      <c r="A192" s="20">
        <v>1272374</v>
      </c>
      <c r="B192" s="9" t="s">
        <v>102</v>
      </c>
      <c r="C192" s="9" t="s">
        <v>110</v>
      </c>
      <c r="D192" s="9" t="s">
        <v>2762</v>
      </c>
      <c r="E192" s="9" t="s">
        <v>2763</v>
      </c>
      <c r="F192" s="9" t="s">
        <v>2686</v>
      </c>
      <c r="G192" s="8">
        <v>4.7</v>
      </c>
      <c r="H192" s="8">
        <v>5.7</v>
      </c>
      <c r="I192" s="8" t="s">
        <v>21</v>
      </c>
    </row>
    <row r="193" spans="1:9" ht="12.5">
      <c r="A193" s="20">
        <v>1696050</v>
      </c>
      <c r="B193" s="9" t="s">
        <v>102</v>
      </c>
      <c r="C193" s="9" t="s">
        <v>110</v>
      </c>
      <c r="D193" s="9" t="s">
        <v>2764</v>
      </c>
      <c r="E193" s="9" t="s">
        <v>2765</v>
      </c>
      <c r="F193" s="9" t="s">
        <v>2648</v>
      </c>
      <c r="G193" s="8">
        <v>4.68</v>
      </c>
      <c r="H193" s="8">
        <v>20.5</v>
      </c>
      <c r="I193" s="8" t="s">
        <v>17</v>
      </c>
    </row>
    <row r="194" spans="1:9" ht="12.5">
      <c r="A194" s="20">
        <v>2324248</v>
      </c>
      <c r="B194" s="9" t="s">
        <v>102</v>
      </c>
      <c r="C194" s="9" t="s">
        <v>192</v>
      </c>
      <c r="D194" s="9" t="s">
        <v>2766</v>
      </c>
      <c r="E194" s="9" t="s">
        <v>2767</v>
      </c>
      <c r="F194" s="9" t="s">
        <v>2768</v>
      </c>
      <c r="G194" s="8">
        <v>4.53</v>
      </c>
      <c r="H194" s="8">
        <v>5.0999999999999996</v>
      </c>
      <c r="I194" s="8" t="s">
        <v>17</v>
      </c>
    </row>
    <row r="195" spans="1:9" ht="12.5">
      <c r="A195" s="20">
        <v>3238269</v>
      </c>
      <c r="B195" s="9" t="s">
        <v>102</v>
      </c>
      <c r="C195" s="9" t="s">
        <v>110</v>
      </c>
      <c r="D195" s="9" t="s">
        <v>2769</v>
      </c>
      <c r="E195" s="9" t="s">
        <v>2770</v>
      </c>
      <c r="F195" s="9" t="s">
        <v>2771</v>
      </c>
      <c r="G195" s="8">
        <v>4.6900000000000004</v>
      </c>
      <c r="H195" s="8">
        <v>5.0999999999999996</v>
      </c>
      <c r="I195" s="8" t="s">
        <v>17</v>
      </c>
    </row>
    <row r="196" spans="1:9" ht="12.5">
      <c r="A196" s="20">
        <v>3593010</v>
      </c>
      <c r="B196" s="9" t="s">
        <v>102</v>
      </c>
      <c r="C196" s="9" t="s">
        <v>116</v>
      </c>
      <c r="D196" s="9" t="s">
        <v>2772</v>
      </c>
      <c r="E196" s="9" t="s">
        <v>2773</v>
      </c>
      <c r="F196" s="9" t="s">
        <v>2774</v>
      </c>
      <c r="G196" s="8">
        <v>4.74</v>
      </c>
      <c r="H196" s="8">
        <v>1.6</v>
      </c>
      <c r="I196" s="8" t="s">
        <v>17</v>
      </c>
    </row>
    <row r="197" spans="1:9" ht="12.5">
      <c r="A197" s="20">
        <v>1035634</v>
      </c>
      <c r="B197" s="9" t="s">
        <v>102</v>
      </c>
      <c r="C197" s="9" t="s">
        <v>116</v>
      </c>
      <c r="D197" s="9" t="s">
        <v>2775</v>
      </c>
      <c r="E197" s="9" t="s">
        <v>2776</v>
      </c>
      <c r="F197" s="9" t="s">
        <v>2777</v>
      </c>
      <c r="G197" s="8">
        <v>4.7300000000000004</v>
      </c>
      <c r="H197" s="8">
        <v>43.8</v>
      </c>
      <c r="I197" s="8" t="s">
        <v>21</v>
      </c>
    </row>
    <row r="198" spans="1:9" ht="12.5">
      <c r="A198" s="20">
        <v>1266468</v>
      </c>
      <c r="B198" s="9" t="s">
        <v>102</v>
      </c>
      <c r="C198" s="9" t="s">
        <v>116</v>
      </c>
      <c r="D198" s="9" t="s">
        <v>2778</v>
      </c>
      <c r="E198" s="9" t="s">
        <v>2779</v>
      </c>
      <c r="F198" s="9" t="s">
        <v>2686</v>
      </c>
      <c r="G198" s="8">
        <v>4.59</v>
      </c>
      <c r="H198" s="8">
        <v>8.3000000000000007</v>
      </c>
      <c r="I198" s="8" t="s">
        <v>21</v>
      </c>
    </row>
    <row r="199" spans="1:9" ht="12.5">
      <c r="A199" s="20">
        <v>1462026</v>
      </c>
      <c r="B199" s="9" t="s">
        <v>102</v>
      </c>
      <c r="C199" s="9" t="s">
        <v>192</v>
      </c>
      <c r="D199" s="9" t="s">
        <v>2780</v>
      </c>
      <c r="E199" s="9" t="s">
        <v>2781</v>
      </c>
      <c r="F199" s="9" t="s">
        <v>2782</v>
      </c>
      <c r="G199" s="8">
        <v>4.38</v>
      </c>
      <c r="H199" s="8">
        <v>20.7</v>
      </c>
      <c r="I199" s="8" t="s">
        <v>21</v>
      </c>
    </row>
    <row r="200" spans="1:9" ht="12.5">
      <c r="A200" s="20">
        <v>1535568</v>
      </c>
      <c r="B200" s="9" t="s">
        <v>102</v>
      </c>
      <c r="C200" s="9" t="s">
        <v>110</v>
      </c>
      <c r="D200" s="9" t="s">
        <v>2783</v>
      </c>
      <c r="E200" s="9" t="s">
        <v>2784</v>
      </c>
      <c r="F200" s="9" t="s">
        <v>2575</v>
      </c>
      <c r="G200" s="8">
        <v>4.78</v>
      </c>
      <c r="H200" s="8">
        <v>13.9</v>
      </c>
      <c r="I200" s="8" t="s">
        <v>21</v>
      </c>
    </row>
    <row r="201" spans="1:9" ht="12.5">
      <c r="A201" s="20">
        <v>1896982</v>
      </c>
      <c r="B201" s="9" t="s">
        <v>102</v>
      </c>
      <c r="C201" s="9" t="s">
        <v>110</v>
      </c>
      <c r="D201" s="9" t="s">
        <v>2785</v>
      </c>
      <c r="E201" s="9" t="s">
        <v>2786</v>
      </c>
      <c r="F201" s="9" t="s">
        <v>2787</v>
      </c>
      <c r="G201" s="8">
        <v>4.58</v>
      </c>
      <c r="H201" s="8">
        <v>4.4000000000000004</v>
      </c>
      <c r="I201" s="8" t="s">
        <v>21</v>
      </c>
    </row>
    <row r="202" spans="1:9" ht="12.5">
      <c r="A202" s="20">
        <v>1961532</v>
      </c>
      <c r="B202" s="9" t="s">
        <v>102</v>
      </c>
      <c r="C202" s="9" t="s">
        <v>110</v>
      </c>
      <c r="D202" s="9" t="s">
        <v>2788</v>
      </c>
      <c r="E202" s="9" t="s">
        <v>2789</v>
      </c>
      <c r="F202" s="9" t="s">
        <v>2686</v>
      </c>
      <c r="G202" s="8">
        <v>4.0599999999999996</v>
      </c>
      <c r="H202" s="8">
        <v>7.5</v>
      </c>
      <c r="I202" s="8" t="s">
        <v>21</v>
      </c>
    </row>
    <row r="203" spans="1:9" ht="12.5">
      <c r="A203" s="20">
        <v>2025714</v>
      </c>
      <c r="B203" s="9" t="s">
        <v>102</v>
      </c>
      <c r="C203" s="9" t="s">
        <v>110</v>
      </c>
      <c r="D203" s="9" t="s">
        <v>2790</v>
      </c>
      <c r="E203" s="9" t="s">
        <v>2791</v>
      </c>
      <c r="F203" s="9" t="s">
        <v>2792</v>
      </c>
      <c r="G203" s="8">
        <v>4.6900000000000004</v>
      </c>
      <c r="H203" s="8">
        <v>2.9</v>
      </c>
      <c r="I203" s="8" t="s">
        <v>17</v>
      </c>
    </row>
    <row r="204" spans="1:9" ht="12.5">
      <c r="A204" s="20">
        <v>2294365</v>
      </c>
      <c r="B204" s="9" t="s">
        <v>102</v>
      </c>
      <c r="C204" s="9" t="s">
        <v>192</v>
      </c>
      <c r="D204" s="9" t="s">
        <v>2793</v>
      </c>
      <c r="E204" s="9" t="s">
        <v>2794</v>
      </c>
      <c r="F204" s="9" t="s">
        <v>2795</v>
      </c>
      <c r="G204" s="8">
        <v>4.87</v>
      </c>
      <c r="H204" s="8">
        <v>4.5999999999999996</v>
      </c>
      <c r="I204" s="8" t="s">
        <v>17</v>
      </c>
    </row>
    <row r="205" spans="1:9" ht="12.5">
      <c r="A205" s="20">
        <v>2644622</v>
      </c>
      <c r="B205" s="9" t="s">
        <v>102</v>
      </c>
      <c r="C205" s="9" t="s">
        <v>116</v>
      </c>
      <c r="D205" s="9" t="s">
        <v>2796</v>
      </c>
      <c r="E205" s="9" t="s">
        <v>2797</v>
      </c>
      <c r="F205" s="9" t="s">
        <v>2798</v>
      </c>
      <c r="G205" s="8">
        <v>4.62</v>
      </c>
      <c r="H205" s="8">
        <v>10.8</v>
      </c>
      <c r="I205" s="8" t="s">
        <v>17</v>
      </c>
    </row>
    <row r="206" spans="1:9" ht="12.5">
      <c r="A206" s="20">
        <v>2755866</v>
      </c>
      <c r="B206" s="9" t="s">
        <v>102</v>
      </c>
      <c r="C206" s="9" t="s">
        <v>192</v>
      </c>
      <c r="D206" s="9" t="s">
        <v>2799</v>
      </c>
      <c r="E206" s="9" t="s">
        <v>2800</v>
      </c>
      <c r="F206" s="9" t="s">
        <v>2801</v>
      </c>
      <c r="G206" s="8">
        <v>4.51</v>
      </c>
      <c r="H206" s="8">
        <v>2.7</v>
      </c>
      <c r="I206" s="8" t="s">
        <v>17</v>
      </c>
    </row>
    <row r="207" spans="1:9" ht="12.5">
      <c r="A207" s="20">
        <v>2800850</v>
      </c>
      <c r="B207" s="9" t="s">
        <v>102</v>
      </c>
      <c r="C207" s="9" t="s">
        <v>106</v>
      </c>
      <c r="D207" s="9" t="s">
        <v>2802</v>
      </c>
      <c r="E207" s="9" t="s">
        <v>2803</v>
      </c>
      <c r="F207" s="9" t="s">
        <v>2578</v>
      </c>
      <c r="G207" s="8">
        <v>4.82</v>
      </c>
      <c r="H207" s="8">
        <v>10.7</v>
      </c>
      <c r="I207" s="8" t="s">
        <v>72</v>
      </c>
    </row>
    <row r="208" spans="1:9" ht="12.5">
      <c r="A208" s="20">
        <v>1701388</v>
      </c>
      <c r="B208" s="9" t="s">
        <v>225</v>
      </c>
      <c r="C208" s="9" t="s">
        <v>226</v>
      </c>
      <c r="D208" s="9" t="s">
        <v>2804</v>
      </c>
      <c r="E208" s="9" t="s">
        <v>2805</v>
      </c>
      <c r="F208" s="9" t="s">
        <v>2806</v>
      </c>
      <c r="G208" s="8">
        <v>4.76</v>
      </c>
      <c r="H208" s="8">
        <v>49.9</v>
      </c>
      <c r="I208" s="8" t="s">
        <v>21</v>
      </c>
    </row>
    <row r="209" spans="1:9" ht="12.5">
      <c r="A209" s="20">
        <v>1927044</v>
      </c>
      <c r="B209" s="9" t="s">
        <v>225</v>
      </c>
      <c r="C209" s="9" t="s">
        <v>226</v>
      </c>
      <c r="D209" s="9" t="s">
        <v>2807</v>
      </c>
      <c r="E209" s="9" t="s">
        <v>2808</v>
      </c>
      <c r="F209" s="9" t="s">
        <v>2318</v>
      </c>
      <c r="G209" s="8">
        <v>4.58</v>
      </c>
      <c r="H209" s="8">
        <v>63.6</v>
      </c>
      <c r="I209" s="8" t="s">
        <v>17</v>
      </c>
    </row>
    <row r="210" spans="1:9" ht="12.5">
      <c r="A210" s="20">
        <v>2330858</v>
      </c>
      <c r="B210" s="9" t="s">
        <v>225</v>
      </c>
      <c r="C210" s="9" t="s">
        <v>235</v>
      </c>
      <c r="D210" s="9" t="s">
        <v>2809</v>
      </c>
      <c r="E210" s="9" t="s">
        <v>2809</v>
      </c>
      <c r="F210" s="9" t="s">
        <v>2810</v>
      </c>
      <c r="G210" s="8">
        <v>4.5999999999999996</v>
      </c>
      <c r="H210" s="8">
        <v>5.9</v>
      </c>
      <c r="I210" s="8" t="s">
        <v>17</v>
      </c>
    </row>
    <row r="211" spans="1:9" ht="12.5">
      <c r="A211" s="20">
        <v>2999002</v>
      </c>
      <c r="B211" s="9" t="s">
        <v>225</v>
      </c>
      <c r="C211" s="9" t="s">
        <v>229</v>
      </c>
      <c r="D211" s="9" t="s">
        <v>2811</v>
      </c>
      <c r="E211" s="9" t="s">
        <v>2811</v>
      </c>
      <c r="F211" s="9" t="s">
        <v>2812</v>
      </c>
      <c r="G211" s="8">
        <v>4.7300000000000004</v>
      </c>
      <c r="H211" s="8">
        <v>12.3</v>
      </c>
      <c r="I211" s="8" t="s">
        <v>72</v>
      </c>
    </row>
    <row r="212" spans="1:9" ht="12.5">
      <c r="A212" s="20">
        <v>1137616</v>
      </c>
      <c r="B212" s="9" t="s">
        <v>225</v>
      </c>
      <c r="C212" s="9" t="s">
        <v>229</v>
      </c>
      <c r="D212" s="9" t="s">
        <v>2813</v>
      </c>
      <c r="E212" s="9" t="s">
        <v>2814</v>
      </c>
      <c r="F212" s="9" t="s">
        <v>2815</v>
      </c>
      <c r="G212" s="8">
        <v>4.6100000000000003</v>
      </c>
      <c r="H212" s="8">
        <v>5.7</v>
      </c>
      <c r="I212" s="8" t="s">
        <v>21</v>
      </c>
    </row>
    <row r="213" spans="1:9" ht="12.5">
      <c r="A213" s="20">
        <v>2411816</v>
      </c>
      <c r="B213" s="9" t="s">
        <v>225</v>
      </c>
      <c r="C213" s="9" t="s">
        <v>235</v>
      </c>
      <c r="D213" s="9" t="s">
        <v>2816</v>
      </c>
      <c r="E213" s="9" t="s">
        <v>2817</v>
      </c>
      <c r="F213" s="9" t="s">
        <v>2818</v>
      </c>
      <c r="G213" s="8">
        <v>4.75</v>
      </c>
      <c r="H213" s="8">
        <v>91.9</v>
      </c>
      <c r="I213" s="8" t="s">
        <v>21</v>
      </c>
    </row>
    <row r="214" spans="1:9" ht="12.5">
      <c r="A214" s="20">
        <v>1465244</v>
      </c>
      <c r="B214" s="9" t="s">
        <v>225</v>
      </c>
      <c r="C214" s="9" t="s">
        <v>235</v>
      </c>
      <c r="D214" s="9" t="s">
        <v>2819</v>
      </c>
      <c r="E214" s="9" t="s">
        <v>2820</v>
      </c>
      <c r="F214" s="9" t="s">
        <v>2815</v>
      </c>
      <c r="G214" s="8">
        <v>4.68</v>
      </c>
      <c r="H214" s="8">
        <v>89.1</v>
      </c>
      <c r="I214" s="8" t="s">
        <v>21</v>
      </c>
    </row>
    <row r="215" spans="1:9" ht="12.5">
      <c r="A215" s="20">
        <v>1121284</v>
      </c>
      <c r="B215" s="9" t="s">
        <v>225</v>
      </c>
      <c r="C215" s="9" t="s">
        <v>226</v>
      </c>
      <c r="D215" s="9" t="s">
        <v>2821</v>
      </c>
      <c r="E215" s="9" t="s">
        <v>2822</v>
      </c>
      <c r="F215" s="9" t="s">
        <v>2806</v>
      </c>
      <c r="G215" s="8">
        <v>4.75</v>
      </c>
      <c r="H215" s="8">
        <v>36.799999999999997</v>
      </c>
      <c r="I215" s="8" t="s">
        <v>21</v>
      </c>
    </row>
    <row r="216" spans="1:9" ht="12.5">
      <c r="A216" s="20">
        <v>1107512</v>
      </c>
      <c r="B216" s="9" t="s">
        <v>225</v>
      </c>
      <c r="C216" s="9" t="s">
        <v>229</v>
      </c>
      <c r="D216" s="9" t="s">
        <v>2823</v>
      </c>
      <c r="E216" s="9" t="s">
        <v>2824</v>
      </c>
      <c r="F216" s="9" t="s">
        <v>2825</v>
      </c>
      <c r="G216" s="8">
        <v>4.62</v>
      </c>
      <c r="H216" s="8">
        <v>4.5</v>
      </c>
      <c r="I216" s="8" t="s">
        <v>21</v>
      </c>
    </row>
    <row r="217" spans="1:9" ht="12.5">
      <c r="A217" s="20">
        <v>3569929</v>
      </c>
      <c r="B217" s="9" t="s">
        <v>225</v>
      </c>
      <c r="C217" s="9" t="s">
        <v>235</v>
      </c>
      <c r="D217" s="9" t="s">
        <v>2826</v>
      </c>
      <c r="E217" s="9" t="s">
        <v>2826</v>
      </c>
      <c r="F217" s="9" t="s">
        <v>2806</v>
      </c>
      <c r="G217" s="8">
        <v>4.79</v>
      </c>
      <c r="H217" s="8">
        <v>8.1</v>
      </c>
      <c r="I217" s="8" t="s">
        <v>17</v>
      </c>
    </row>
    <row r="218" spans="1:9" ht="12.5">
      <c r="A218" s="20">
        <v>1360966</v>
      </c>
      <c r="B218" s="9" t="s">
        <v>225</v>
      </c>
      <c r="C218" s="9" t="s">
        <v>235</v>
      </c>
      <c r="D218" s="9" t="s">
        <v>2827</v>
      </c>
      <c r="E218" s="9" t="s">
        <v>2827</v>
      </c>
      <c r="F218" s="9" t="s">
        <v>2806</v>
      </c>
      <c r="G218" s="8">
        <v>4.8499999999999996</v>
      </c>
      <c r="H218" s="8">
        <v>30.8</v>
      </c>
      <c r="I218" s="8" t="s">
        <v>72</v>
      </c>
    </row>
    <row r="219" spans="1:9" ht="12.5">
      <c r="A219" s="20">
        <v>1040352</v>
      </c>
      <c r="B219" s="9" t="s">
        <v>225</v>
      </c>
      <c r="C219" s="9" t="s">
        <v>398</v>
      </c>
      <c r="D219" s="9" t="s">
        <v>2828</v>
      </c>
      <c r="E219" s="9" t="s">
        <v>2829</v>
      </c>
      <c r="F219" s="9" t="s">
        <v>2830</v>
      </c>
      <c r="G219" s="8">
        <v>4.71</v>
      </c>
      <c r="H219" s="8">
        <v>7.8</v>
      </c>
      <c r="I219" s="8" t="s">
        <v>21</v>
      </c>
    </row>
    <row r="220" spans="1:9" ht="12.5">
      <c r="A220" s="20">
        <v>1080928</v>
      </c>
      <c r="B220" s="9" t="s">
        <v>225</v>
      </c>
      <c r="C220" s="9" t="s">
        <v>398</v>
      </c>
      <c r="D220" s="9" t="s">
        <v>2831</v>
      </c>
      <c r="E220" s="9" t="s">
        <v>2832</v>
      </c>
      <c r="F220" s="9" t="s">
        <v>2833</v>
      </c>
      <c r="G220" s="8">
        <v>4.49</v>
      </c>
      <c r="H220" s="8">
        <v>4.9000000000000004</v>
      </c>
      <c r="I220" s="8" t="s">
        <v>21</v>
      </c>
    </row>
    <row r="221" spans="1:9" ht="12.5">
      <c r="A221" s="20">
        <v>2702376</v>
      </c>
      <c r="B221" s="9" t="s">
        <v>225</v>
      </c>
      <c r="C221" s="9" t="s">
        <v>235</v>
      </c>
      <c r="D221" s="9" t="s">
        <v>2834</v>
      </c>
      <c r="E221" s="9" t="s">
        <v>2834</v>
      </c>
      <c r="F221" s="9" t="s">
        <v>2835</v>
      </c>
      <c r="G221" s="8">
        <v>4.95</v>
      </c>
      <c r="H221" s="8">
        <v>46.2</v>
      </c>
      <c r="I221" s="8" t="s">
        <v>72</v>
      </c>
    </row>
    <row r="222" spans="1:9" ht="12.5">
      <c r="A222" s="20">
        <v>1341268</v>
      </c>
      <c r="B222" s="9" t="s">
        <v>225</v>
      </c>
      <c r="C222" s="9" t="s">
        <v>235</v>
      </c>
      <c r="D222" s="9" t="s">
        <v>2836</v>
      </c>
      <c r="E222" s="9" t="s">
        <v>2837</v>
      </c>
      <c r="F222" s="9" t="s">
        <v>2838</v>
      </c>
      <c r="G222" s="8">
        <v>4.7</v>
      </c>
      <c r="H222" s="8">
        <v>109.1</v>
      </c>
      <c r="I222" s="8" t="s">
        <v>21</v>
      </c>
    </row>
    <row r="223" spans="1:9" ht="12.5">
      <c r="A223" s="20">
        <v>870252</v>
      </c>
      <c r="B223" s="9" t="s">
        <v>225</v>
      </c>
      <c r="C223" s="9" t="s">
        <v>226</v>
      </c>
      <c r="D223" s="9" t="s">
        <v>2839</v>
      </c>
      <c r="E223" s="9" t="s">
        <v>2840</v>
      </c>
      <c r="F223" s="9" t="s">
        <v>2815</v>
      </c>
      <c r="G223" s="8">
        <v>4.72</v>
      </c>
      <c r="H223" s="8">
        <v>77</v>
      </c>
      <c r="I223" s="8" t="s">
        <v>21</v>
      </c>
    </row>
    <row r="224" spans="1:9" ht="12.5">
      <c r="A224" s="20">
        <v>1617166</v>
      </c>
      <c r="B224" s="9" t="s">
        <v>225</v>
      </c>
      <c r="C224" s="9" t="s">
        <v>235</v>
      </c>
      <c r="D224" s="9" t="s">
        <v>2841</v>
      </c>
      <c r="E224" s="9" t="s">
        <v>2842</v>
      </c>
      <c r="F224" s="9" t="s">
        <v>2843</v>
      </c>
      <c r="G224" s="8">
        <v>4.43</v>
      </c>
      <c r="H224" s="8">
        <v>7.5</v>
      </c>
      <c r="I224" s="8" t="s">
        <v>21</v>
      </c>
    </row>
    <row r="225" spans="1:9" ht="12.5">
      <c r="A225" s="20">
        <v>1201882</v>
      </c>
      <c r="B225" s="9" t="s">
        <v>225</v>
      </c>
      <c r="C225" s="9" t="s">
        <v>235</v>
      </c>
      <c r="D225" s="9" t="s">
        <v>2844</v>
      </c>
      <c r="E225" s="9" t="s">
        <v>2845</v>
      </c>
      <c r="F225" s="9" t="s">
        <v>2322</v>
      </c>
      <c r="G225" s="8">
        <v>4.55</v>
      </c>
      <c r="H225" s="8">
        <v>15.9</v>
      </c>
      <c r="I225" s="8" t="s">
        <v>21</v>
      </c>
    </row>
    <row r="226" spans="1:9" ht="12.5">
      <c r="A226" s="20">
        <v>3093558</v>
      </c>
      <c r="B226" s="9" t="s">
        <v>225</v>
      </c>
      <c r="C226" s="9" t="s">
        <v>235</v>
      </c>
      <c r="D226" s="9" t="s">
        <v>2846</v>
      </c>
      <c r="E226" s="9" t="s">
        <v>2846</v>
      </c>
      <c r="F226" s="9" t="s">
        <v>2835</v>
      </c>
      <c r="G226" s="8">
        <v>4.87</v>
      </c>
      <c r="H226" s="8">
        <v>41.2</v>
      </c>
      <c r="I226" s="8" t="s">
        <v>72</v>
      </c>
    </row>
    <row r="227" spans="1:9" ht="12.5">
      <c r="A227" s="20">
        <v>1225478</v>
      </c>
      <c r="B227" s="9" t="s">
        <v>225</v>
      </c>
      <c r="C227" s="9" t="s">
        <v>278</v>
      </c>
      <c r="D227" s="9" t="s">
        <v>2847</v>
      </c>
      <c r="E227" s="9" t="s">
        <v>2848</v>
      </c>
      <c r="F227" s="9" t="s">
        <v>2825</v>
      </c>
      <c r="G227" s="8">
        <v>4.5999999999999996</v>
      </c>
      <c r="H227" s="8">
        <v>28.1</v>
      </c>
      <c r="I227" s="8" t="s">
        <v>21</v>
      </c>
    </row>
    <row r="228" spans="1:9" ht="12.5">
      <c r="A228" s="20">
        <v>1593414</v>
      </c>
      <c r="B228" s="9" t="s">
        <v>225</v>
      </c>
      <c r="C228" s="9" t="s">
        <v>288</v>
      </c>
      <c r="D228" s="9" t="s">
        <v>2849</v>
      </c>
      <c r="E228" s="9" t="s">
        <v>2849</v>
      </c>
      <c r="F228" s="9" t="s">
        <v>2371</v>
      </c>
      <c r="G228" s="8">
        <v>4.54</v>
      </c>
      <c r="H228" s="8">
        <v>18</v>
      </c>
      <c r="I228" s="8" t="s">
        <v>72</v>
      </c>
    </row>
    <row r="229" spans="1:9" ht="12.5">
      <c r="A229" s="20">
        <v>1893688</v>
      </c>
      <c r="B229" s="9" t="s">
        <v>225</v>
      </c>
      <c r="C229" s="9" t="s">
        <v>226</v>
      </c>
      <c r="D229" s="9" t="s">
        <v>2850</v>
      </c>
      <c r="E229" s="9" t="s">
        <v>2851</v>
      </c>
      <c r="F229" s="9" t="s">
        <v>2806</v>
      </c>
      <c r="G229" s="8">
        <v>4.72</v>
      </c>
      <c r="H229" s="8">
        <v>7.9</v>
      </c>
      <c r="I229" s="8" t="s">
        <v>17</v>
      </c>
    </row>
    <row r="230" spans="1:9" ht="12.5">
      <c r="A230" s="20">
        <v>2861680</v>
      </c>
      <c r="B230" s="9" t="s">
        <v>225</v>
      </c>
      <c r="C230" s="9" t="s">
        <v>229</v>
      </c>
      <c r="D230" s="9" t="s">
        <v>2852</v>
      </c>
      <c r="E230" s="9" t="s">
        <v>2853</v>
      </c>
      <c r="F230" s="9" t="s">
        <v>2830</v>
      </c>
      <c r="G230" s="8">
        <v>4.75</v>
      </c>
      <c r="H230" s="8">
        <v>10</v>
      </c>
      <c r="I230" s="8" t="s">
        <v>72</v>
      </c>
    </row>
    <row r="231" spans="1:9" ht="12.5">
      <c r="A231" s="20">
        <v>2500156</v>
      </c>
      <c r="B231" s="9" t="s">
        <v>225</v>
      </c>
      <c r="C231" s="9" t="s">
        <v>235</v>
      </c>
      <c r="D231" s="9" t="s">
        <v>2854</v>
      </c>
      <c r="E231" s="9" t="s">
        <v>2855</v>
      </c>
      <c r="F231" s="9" t="s">
        <v>2856</v>
      </c>
      <c r="G231" s="8">
        <v>4.7</v>
      </c>
      <c r="H231" s="8">
        <v>51.8</v>
      </c>
      <c r="I231" s="8" t="s">
        <v>17</v>
      </c>
    </row>
    <row r="232" spans="1:9" ht="12.5">
      <c r="A232" s="20">
        <v>978246</v>
      </c>
      <c r="B232" s="9" t="s">
        <v>225</v>
      </c>
      <c r="C232" s="9" t="s">
        <v>235</v>
      </c>
      <c r="D232" s="9" t="s">
        <v>2857</v>
      </c>
      <c r="E232" s="9" t="s">
        <v>2858</v>
      </c>
      <c r="F232" s="9" t="s">
        <v>2859</v>
      </c>
      <c r="G232" s="8">
        <v>4.3499999999999996</v>
      </c>
      <c r="H232" s="8">
        <v>4.8</v>
      </c>
      <c r="I232" s="8" t="s">
        <v>21</v>
      </c>
    </row>
    <row r="233" spans="1:9" ht="12.5">
      <c r="A233" s="20">
        <v>2140034</v>
      </c>
      <c r="B233" s="9" t="s">
        <v>225</v>
      </c>
      <c r="C233" s="9" t="s">
        <v>235</v>
      </c>
      <c r="D233" s="9" t="s">
        <v>2860</v>
      </c>
      <c r="E233" s="9" t="s">
        <v>2861</v>
      </c>
      <c r="F233" s="9" t="s">
        <v>2862</v>
      </c>
      <c r="G233" s="8">
        <v>4.4800000000000004</v>
      </c>
      <c r="H233" s="8">
        <v>15.9</v>
      </c>
      <c r="I233" s="8" t="s">
        <v>72</v>
      </c>
    </row>
    <row r="234" spans="1:9" ht="12.5">
      <c r="A234" s="20">
        <v>2777074</v>
      </c>
      <c r="B234" s="9" t="s">
        <v>225</v>
      </c>
      <c r="C234" s="9" t="s">
        <v>235</v>
      </c>
      <c r="D234" s="9" t="s">
        <v>2863</v>
      </c>
      <c r="E234" s="9" t="s">
        <v>2863</v>
      </c>
      <c r="F234" s="9" t="s">
        <v>2864</v>
      </c>
      <c r="G234" s="8">
        <v>4.6500000000000004</v>
      </c>
      <c r="H234" s="8">
        <v>12.6</v>
      </c>
      <c r="I234" s="8" t="s">
        <v>72</v>
      </c>
    </row>
    <row r="235" spans="1:9" ht="12.5">
      <c r="A235" s="20">
        <v>896886</v>
      </c>
      <c r="B235" s="9" t="s">
        <v>225</v>
      </c>
      <c r="C235" s="9" t="s">
        <v>235</v>
      </c>
      <c r="D235" s="9" t="s">
        <v>2865</v>
      </c>
      <c r="E235" s="9" t="s">
        <v>2866</v>
      </c>
      <c r="F235" s="9" t="s">
        <v>2694</v>
      </c>
      <c r="G235" s="8">
        <v>4.6100000000000003</v>
      </c>
      <c r="H235" s="8">
        <v>38.299999999999997</v>
      </c>
      <c r="I235" s="8" t="s">
        <v>21</v>
      </c>
    </row>
    <row r="236" spans="1:9" ht="12.5">
      <c r="A236" s="20">
        <v>1764438</v>
      </c>
      <c r="B236" s="9" t="s">
        <v>225</v>
      </c>
      <c r="C236" s="9" t="s">
        <v>278</v>
      </c>
      <c r="D236" s="9" t="s">
        <v>2867</v>
      </c>
      <c r="E236" s="9" t="s">
        <v>2868</v>
      </c>
      <c r="F236" s="9" t="s">
        <v>2869</v>
      </c>
      <c r="G236" s="8">
        <v>4.63</v>
      </c>
      <c r="H236" s="8">
        <v>61.4</v>
      </c>
      <c r="I236" s="8" t="s">
        <v>21</v>
      </c>
    </row>
    <row r="237" spans="1:9" ht="12.5">
      <c r="A237" s="20">
        <v>1076168</v>
      </c>
      <c r="B237" s="9" t="s">
        <v>225</v>
      </c>
      <c r="C237" s="9" t="s">
        <v>235</v>
      </c>
      <c r="D237" s="9" t="s">
        <v>2870</v>
      </c>
      <c r="E237" s="9" t="s">
        <v>2871</v>
      </c>
      <c r="F237" s="9" t="s">
        <v>2815</v>
      </c>
      <c r="G237" s="8">
        <v>4.72</v>
      </c>
      <c r="H237" s="8">
        <v>49.1</v>
      </c>
      <c r="I237" s="8" t="s">
        <v>72</v>
      </c>
    </row>
    <row r="238" spans="1:9" ht="12.5">
      <c r="A238" s="20">
        <v>1693748</v>
      </c>
      <c r="B238" s="9" t="s">
        <v>225</v>
      </c>
      <c r="C238" s="9" t="s">
        <v>1338</v>
      </c>
      <c r="D238" s="9" t="s">
        <v>2872</v>
      </c>
      <c r="E238" s="9" t="s">
        <v>2873</v>
      </c>
      <c r="F238" s="9" t="s">
        <v>2318</v>
      </c>
      <c r="G238" s="8">
        <v>4.53</v>
      </c>
      <c r="H238" s="8">
        <v>33.200000000000003</v>
      </c>
      <c r="I238" s="8" t="s">
        <v>17</v>
      </c>
    </row>
    <row r="239" spans="1:9" ht="12.5">
      <c r="A239" s="20">
        <v>1968160</v>
      </c>
      <c r="B239" s="9" t="s">
        <v>225</v>
      </c>
      <c r="C239" s="9" t="s">
        <v>229</v>
      </c>
      <c r="D239" s="9" t="s">
        <v>2874</v>
      </c>
      <c r="E239" s="9" t="s">
        <v>2875</v>
      </c>
      <c r="F239" s="9" t="s">
        <v>2876</v>
      </c>
      <c r="G239" s="8">
        <v>4.4800000000000004</v>
      </c>
      <c r="H239" s="8">
        <v>8.5</v>
      </c>
      <c r="I239" s="8" t="s">
        <v>21</v>
      </c>
    </row>
    <row r="240" spans="1:9" ht="12.5">
      <c r="A240" s="20">
        <v>2585714</v>
      </c>
      <c r="B240" s="9" t="s">
        <v>225</v>
      </c>
      <c r="C240" s="9" t="s">
        <v>235</v>
      </c>
      <c r="D240" s="9" t="s">
        <v>2877</v>
      </c>
      <c r="E240" s="9" t="s">
        <v>2877</v>
      </c>
      <c r="F240" s="9" t="s">
        <v>2878</v>
      </c>
      <c r="G240" s="8">
        <v>3.89</v>
      </c>
      <c r="H240" s="8">
        <v>1.9</v>
      </c>
      <c r="I240" s="8" t="s">
        <v>21</v>
      </c>
    </row>
    <row r="241" spans="1:9" ht="12.5">
      <c r="A241" s="20">
        <v>2420534</v>
      </c>
      <c r="B241" s="9" t="s">
        <v>225</v>
      </c>
      <c r="C241" s="9" t="s">
        <v>1338</v>
      </c>
      <c r="D241" s="9" t="s">
        <v>2879</v>
      </c>
      <c r="E241" s="9" t="s">
        <v>2880</v>
      </c>
      <c r="F241" s="9" t="s">
        <v>2806</v>
      </c>
      <c r="G241" s="8">
        <v>4.7699999999999996</v>
      </c>
      <c r="H241" s="8">
        <v>30.7</v>
      </c>
      <c r="I241" s="8" t="s">
        <v>17</v>
      </c>
    </row>
    <row r="242" spans="1:9" ht="12.5">
      <c r="A242" s="20">
        <v>2575266</v>
      </c>
      <c r="B242" s="9" t="s">
        <v>225</v>
      </c>
      <c r="C242" s="9" t="s">
        <v>235</v>
      </c>
      <c r="D242" s="9" t="s">
        <v>2881</v>
      </c>
      <c r="E242" s="9" t="s">
        <v>2882</v>
      </c>
      <c r="F242" s="9" t="s">
        <v>2818</v>
      </c>
      <c r="G242" s="8">
        <v>4.71</v>
      </c>
      <c r="H242" s="8">
        <v>126</v>
      </c>
      <c r="I242" s="8" t="s">
        <v>21</v>
      </c>
    </row>
    <row r="243" spans="1:9" ht="12.5">
      <c r="A243" s="20">
        <v>2739100</v>
      </c>
      <c r="B243" s="9" t="s">
        <v>225</v>
      </c>
      <c r="C243" s="9" t="s">
        <v>235</v>
      </c>
      <c r="D243" s="9" t="s">
        <v>2883</v>
      </c>
      <c r="E243" s="9" t="s">
        <v>2884</v>
      </c>
      <c r="F243" s="9" t="s">
        <v>2810</v>
      </c>
      <c r="G243" s="8">
        <v>4.6500000000000004</v>
      </c>
      <c r="H243" s="8">
        <v>3.7</v>
      </c>
      <c r="I243" s="8" t="s">
        <v>72</v>
      </c>
    </row>
    <row r="244" spans="1:9" ht="12.5">
      <c r="A244" s="20">
        <v>3377690</v>
      </c>
      <c r="B244" s="9" t="s">
        <v>225</v>
      </c>
      <c r="C244" s="9" t="s">
        <v>235</v>
      </c>
      <c r="D244" s="9" t="s">
        <v>2885</v>
      </c>
      <c r="E244" s="9" t="s">
        <v>2886</v>
      </c>
      <c r="F244" s="9" t="s">
        <v>2887</v>
      </c>
      <c r="G244" s="8">
        <v>4.4800000000000004</v>
      </c>
      <c r="H244" s="8">
        <v>14.3</v>
      </c>
      <c r="I244" s="8" t="s">
        <v>21</v>
      </c>
    </row>
    <row r="245" spans="1:9" ht="12.5">
      <c r="A245" s="20">
        <v>1753902</v>
      </c>
      <c r="B245" s="9" t="s">
        <v>225</v>
      </c>
      <c r="C245" s="9" t="s">
        <v>1338</v>
      </c>
      <c r="D245" s="9" t="s">
        <v>2888</v>
      </c>
      <c r="E245" s="9" t="s">
        <v>2889</v>
      </c>
      <c r="F245" s="9" t="s">
        <v>2890</v>
      </c>
      <c r="G245" s="8">
        <v>4.7</v>
      </c>
      <c r="H245" s="8">
        <v>3.1</v>
      </c>
      <c r="I245" s="8" t="s">
        <v>21</v>
      </c>
    </row>
    <row r="246" spans="1:9" ht="12.5">
      <c r="A246" s="20">
        <v>2011692</v>
      </c>
      <c r="B246" s="9" t="s">
        <v>225</v>
      </c>
      <c r="C246" s="9" t="s">
        <v>229</v>
      </c>
      <c r="D246" s="9" t="s">
        <v>2891</v>
      </c>
      <c r="E246" s="9" t="s">
        <v>2892</v>
      </c>
      <c r="F246" s="9" t="s">
        <v>2304</v>
      </c>
      <c r="G246" s="8">
        <v>4.7699999999999996</v>
      </c>
      <c r="H246" s="8">
        <v>5.0999999999999996</v>
      </c>
      <c r="I246" s="8" t="s">
        <v>17</v>
      </c>
    </row>
    <row r="247" spans="1:9" ht="12.5">
      <c r="A247" s="20">
        <v>1611150</v>
      </c>
      <c r="B247" s="9" t="s">
        <v>225</v>
      </c>
      <c r="C247" s="9" t="s">
        <v>398</v>
      </c>
      <c r="D247" s="9" t="s">
        <v>2893</v>
      </c>
      <c r="E247" s="9" t="s">
        <v>2894</v>
      </c>
      <c r="F247" s="9" t="s">
        <v>2830</v>
      </c>
      <c r="G247" s="8">
        <v>4.54</v>
      </c>
      <c r="H247" s="8">
        <v>6.4</v>
      </c>
      <c r="I247" s="8" t="s">
        <v>21</v>
      </c>
    </row>
    <row r="248" spans="1:9" ht="12.5">
      <c r="A248" s="20">
        <v>1231884</v>
      </c>
      <c r="B248" s="9" t="s">
        <v>225</v>
      </c>
      <c r="C248" s="9" t="s">
        <v>229</v>
      </c>
      <c r="D248" s="9" t="s">
        <v>2895</v>
      </c>
      <c r="E248" s="9" t="s">
        <v>2896</v>
      </c>
      <c r="F248" s="9" t="s">
        <v>2897</v>
      </c>
      <c r="G248" s="8">
        <v>4.53</v>
      </c>
      <c r="H248" s="8">
        <v>7.3</v>
      </c>
      <c r="I248" s="8" t="s">
        <v>17</v>
      </c>
    </row>
    <row r="249" spans="1:9" ht="12.5">
      <c r="A249" s="20">
        <v>2102378</v>
      </c>
      <c r="B249" s="9" t="s">
        <v>225</v>
      </c>
      <c r="C249" s="9" t="s">
        <v>288</v>
      </c>
      <c r="D249" s="9" t="s">
        <v>2898</v>
      </c>
      <c r="E249" s="9" t="s">
        <v>2899</v>
      </c>
      <c r="F249" s="9" t="s">
        <v>2318</v>
      </c>
      <c r="G249" s="8">
        <v>4.66</v>
      </c>
      <c r="H249" s="8">
        <v>52</v>
      </c>
      <c r="I249" s="8" t="s">
        <v>17</v>
      </c>
    </row>
    <row r="250" spans="1:9" ht="12.5">
      <c r="A250" s="20">
        <v>1679146</v>
      </c>
      <c r="B250" s="9" t="s">
        <v>225</v>
      </c>
      <c r="C250" s="9" t="s">
        <v>1338</v>
      </c>
      <c r="D250" s="9" t="s">
        <v>2900</v>
      </c>
      <c r="E250" s="9" t="s">
        <v>2901</v>
      </c>
      <c r="F250" s="9" t="s">
        <v>2318</v>
      </c>
      <c r="G250" s="8">
        <v>4.49</v>
      </c>
      <c r="H250" s="8">
        <v>17.8</v>
      </c>
      <c r="I250" s="8" t="s">
        <v>17</v>
      </c>
    </row>
    <row r="251" spans="1:9" ht="12.5">
      <c r="A251" s="20">
        <v>1805784</v>
      </c>
      <c r="B251" s="9" t="s">
        <v>225</v>
      </c>
      <c r="C251" s="9" t="s">
        <v>278</v>
      </c>
      <c r="D251" s="9" t="s">
        <v>2902</v>
      </c>
      <c r="E251" s="9" t="s">
        <v>2903</v>
      </c>
      <c r="F251" s="9" t="s">
        <v>2815</v>
      </c>
      <c r="G251" s="8">
        <v>4.71</v>
      </c>
      <c r="H251" s="8">
        <v>42.9</v>
      </c>
      <c r="I251" s="8" t="s">
        <v>21</v>
      </c>
    </row>
    <row r="252" spans="1:9" ht="12.5">
      <c r="A252" s="20">
        <v>1276878</v>
      </c>
      <c r="B252" s="9" t="s">
        <v>225</v>
      </c>
      <c r="C252" s="9" t="s">
        <v>226</v>
      </c>
      <c r="D252" s="9" t="s">
        <v>2904</v>
      </c>
      <c r="E252" s="9" t="s">
        <v>2905</v>
      </c>
      <c r="F252" s="9" t="s">
        <v>2806</v>
      </c>
      <c r="G252" s="8">
        <v>4.76</v>
      </c>
      <c r="H252" s="8">
        <v>7.2</v>
      </c>
      <c r="I252" s="8" t="s">
        <v>17</v>
      </c>
    </row>
    <row r="253" spans="1:9" ht="12.5">
      <c r="A253" s="20">
        <v>2633022</v>
      </c>
      <c r="B253" s="9" t="s">
        <v>225</v>
      </c>
      <c r="C253" s="9" t="s">
        <v>235</v>
      </c>
      <c r="D253" s="9" t="s">
        <v>2906</v>
      </c>
      <c r="E253" s="9" t="s">
        <v>2907</v>
      </c>
      <c r="F253" s="9" t="s">
        <v>2864</v>
      </c>
      <c r="G253" s="8">
        <v>4.8099999999999996</v>
      </c>
      <c r="H253" s="8">
        <v>13</v>
      </c>
      <c r="I253" s="8" t="s">
        <v>21</v>
      </c>
    </row>
    <row r="254" spans="1:9" ht="12.5">
      <c r="A254" s="20">
        <v>3205160</v>
      </c>
      <c r="B254" s="9" t="s">
        <v>225</v>
      </c>
      <c r="C254" s="9" t="s">
        <v>226</v>
      </c>
      <c r="D254" s="9" t="s">
        <v>2908</v>
      </c>
      <c r="E254" s="9" t="s">
        <v>2909</v>
      </c>
      <c r="F254" s="9" t="s">
        <v>2815</v>
      </c>
      <c r="G254" s="8">
        <v>4.84</v>
      </c>
      <c r="H254" s="8">
        <v>17</v>
      </c>
      <c r="I254" s="8" t="s">
        <v>72</v>
      </c>
    </row>
    <row r="255" spans="1:9" ht="12.5">
      <c r="A255" s="20">
        <v>1130832</v>
      </c>
      <c r="B255" s="9" t="s">
        <v>225</v>
      </c>
      <c r="C255" s="9" t="s">
        <v>278</v>
      </c>
      <c r="D255" s="9" t="s">
        <v>2910</v>
      </c>
      <c r="E255" s="9" t="s">
        <v>2911</v>
      </c>
      <c r="F255" s="9" t="s">
        <v>2575</v>
      </c>
      <c r="G255" s="8">
        <v>4.63</v>
      </c>
      <c r="H255" s="8">
        <v>107</v>
      </c>
      <c r="I255" s="8" t="s">
        <v>21</v>
      </c>
    </row>
    <row r="256" spans="1:9" ht="12.5">
      <c r="A256" s="20">
        <v>1317870</v>
      </c>
      <c r="B256" s="9" t="s">
        <v>225</v>
      </c>
      <c r="C256" s="9" t="s">
        <v>226</v>
      </c>
      <c r="D256" s="9" t="s">
        <v>2912</v>
      </c>
      <c r="E256" s="9" t="s">
        <v>2913</v>
      </c>
      <c r="F256" s="9" t="s">
        <v>2447</v>
      </c>
      <c r="G256" s="8">
        <v>4.53</v>
      </c>
      <c r="H256" s="8">
        <v>12.4</v>
      </c>
      <c r="I256" s="8" t="s">
        <v>21</v>
      </c>
    </row>
    <row r="257" spans="1:9" ht="12.5">
      <c r="A257" s="20">
        <v>2437296</v>
      </c>
      <c r="B257" s="9" t="s">
        <v>225</v>
      </c>
      <c r="C257" s="9" t="s">
        <v>235</v>
      </c>
      <c r="D257" s="9" t="s">
        <v>2914</v>
      </c>
      <c r="E257" s="9" t="s">
        <v>2915</v>
      </c>
      <c r="F257" s="9" t="s">
        <v>2864</v>
      </c>
      <c r="G257" s="8">
        <v>4.47</v>
      </c>
      <c r="H257" s="8">
        <v>17.600000000000001</v>
      </c>
      <c r="I257" s="8" t="s">
        <v>21</v>
      </c>
    </row>
    <row r="258" spans="1:9" ht="12.5">
      <c r="A258" s="20">
        <v>1138310</v>
      </c>
      <c r="B258" s="9" t="s">
        <v>225</v>
      </c>
      <c r="C258" s="9" t="s">
        <v>235</v>
      </c>
      <c r="D258" s="9" t="s">
        <v>2916</v>
      </c>
      <c r="E258" s="9" t="s">
        <v>2917</v>
      </c>
      <c r="F258" s="9" t="s">
        <v>2838</v>
      </c>
      <c r="G258" s="8">
        <v>4.6500000000000004</v>
      </c>
      <c r="H258" s="8">
        <v>30.8</v>
      </c>
      <c r="I258" s="8" t="s">
        <v>72</v>
      </c>
    </row>
    <row r="259" spans="1:9" ht="12.5">
      <c r="A259" s="20">
        <v>1243864</v>
      </c>
      <c r="B259" s="9" t="s">
        <v>225</v>
      </c>
      <c r="C259" s="9" t="s">
        <v>398</v>
      </c>
      <c r="D259" s="9" t="s">
        <v>2918</v>
      </c>
      <c r="E259" s="9" t="s">
        <v>2919</v>
      </c>
      <c r="F259" s="9" t="s">
        <v>2830</v>
      </c>
      <c r="G259" s="8">
        <v>4.66</v>
      </c>
      <c r="H259" s="8">
        <v>13.2</v>
      </c>
      <c r="I259" s="8" t="s">
        <v>21</v>
      </c>
    </row>
    <row r="260" spans="1:9" ht="12.5">
      <c r="A260" s="20">
        <v>2844120</v>
      </c>
      <c r="B260" s="9" t="s">
        <v>225</v>
      </c>
      <c r="C260" s="9" t="s">
        <v>235</v>
      </c>
      <c r="D260" s="9" t="s">
        <v>2920</v>
      </c>
      <c r="E260" s="9" t="s">
        <v>2921</v>
      </c>
      <c r="F260" s="9" t="s">
        <v>2864</v>
      </c>
      <c r="G260" s="8">
        <v>4.63</v>
      </c>
      <c r="H260" s="8">
        <v>19.8</v>
      </c>
      <c r="I260" s="8" t="s">
        <v>21</v>
      </c>
    </row>
    <row r="261" spans="1:9" ht="12.5">
      <c r="A261" s="20">
        <v>1347248</v>
      </c>
      <c r="B261" s="9" t="s">
        <v>225</v>
      </c>
      <c r="C261" s="9" t="s">
        <v>398</v>
      </c>
      <c r="D261" s="9" t="s">
        <v>2922</v>
      </c>
      <c r="E261" s="9" t="s">
        <v>2923</v>
      </c>
      <c r="F261" s="9" t="s">
        <v>2924</v>
      </c>
      <c r="G261" s="8">
        <v>4.66</v>
      </c>
      <c r="H261" s="8">
        <v>4.3</v>
      </c>
      <c r="I261" s="8" t="s">
        <v>17</v>
      </c>
    </row>
    <row r="262" spans="1:9" ht="12.5">
      <c r="A262" s="20">
        <v>969388</v>
      </c>
      <c r="B262" s="9" t="s">
        <v>225</v>
      </c>
      <c r="C262" s="9" t="s">
        <v>235</v>
      </c>
      <c r="D262" s="9" t="s">
        <v>2925</v>
      </c>
      <c r="E262" s="9" t="s">
        <v>2926</v>
      </c>
      <c r="F262" s="9" t="s">
        <v>2694</v>
      </c>
      <c r="G262" s="8">
        <v>4.74</v>
      </c>
      <c r="H262" s="8">
        <v>33.4</v>
      </c>
      <c r="I262" s="8" t="s">
        <v>21</v>
      </c>
    </row>
    <row r="263" spans="1:9" ht="12.5">
      <c r="A263" s="20">
        <v>2802609</v>
      </c>
      <c r="B263" s="9" t="s">
        <v>225</v>
      </c>
      <c r="C263" s="9" t="s">
        <v>229</v>
      </c>
      <c r="D263" s="9" t="s">
        <v>2927</v>
      </c>
      <c r="E263" s="9" t="s">
        <v>2928</v>
      </c>
      <c r="F263" s="9" t="s">
        <v>2318</v>
      </c>
      <c r="G263" s="8">
        <v>4.7300000000000004</v>
      </c>
      <c r="H263" s="8">
        <v>11.9</v>
      </c>
      <c r="I263" s="8" t="s">
        <v>17</v>
      </c>
    </row>
    <row r="264" spans="1:9" ht="12.5">
      <c r="A264" s="20">
        <v>1563834</v>
      </c>
      <c r="B264" s="9" t="s">
        <v>225</v>
      </c>
      <c r="C264" s="9" t="s">
        <v>398</v>
      </c>
      <c r="D264" s="9" t="s">
        <v>2929</v>
      </c>
      <c r="E264" s="9" t="s">
        <v>2930</v>
      </c>
      <c r="F264" s="9" t="s">
        <v>2931</v>
      </c>
      <c r="G264" s="8">
        <v>4.6500000000000004</v>
      </c>
      <c r="H264" s="8">
        <v>4.0999999999999996</v>
      </c>
      <c r="I264" s="8" t="s">
        <v>17</v>
      </c>
    </row>
    <row r="265" spans="1:9" ht="12.5">
      <c r="A265" s="20">
        <v>1759072</v>
      </c>
      <c r="B265" s="9" t="s">
        <v>225</v>
      </c>
      <c r="C265" s="9" t="s">
        <v>226</v>
      </c>
      <c r="D265" s="9" t="s">
        <v>2932</v>
      </c>
      <c r="E265" s="9" t="s">
        <v>2933</v>
      </c>
      <c r="F265" s="9" t="s">
        <v>2815</v>
      </c>
      <c r="G265" s="8">
        <v>4.5999999999999996</v>
      </c>
      <c r="H265" s="8">
        <v>16.7</v>
      </c>
      <c r="I265" s="8" t="s">
        <v>21</v>
      </c>
    </row>
    <row r="266" spans="1:9" ht="12.5">
      <c r="A266" s="20">
        <v>1876394</v>
      </c>
      <c r="B266" s="9" t="s">
        <v>225</v>
      </c>
      <c r="C266" s="9" t="s">
        <v>226</v>
      </c>
      <c r="D266" s="9" t="s">
        <v>2934</v>
      </c>
      <c r="E266" s="9" t="s">
        <v>2935</v>
      </c>
      <c r="F266" s="9" t="s">
        <v>2318</v>
      </c>
      <c r="G266" s="8">
        <v>4.63</v>
      </c>
      <c r="H266" s="8">
        <v>32.5</v>
      </c>
      <c r="I266" s="8" t="s">
        <v>17</v>
      </c>
    </row>
    <row r="267" spans="1:9" ht="12.5">
      <c r="A267" s="20">
        <v>2710728</v>
      </c>
      <c r="B267" s="9" t="s">
        <v>225</v>
      </c>
      <c r="C267" s="9" t="s">
        <v>278</v>
      </c>
      <c r="D267" s="9" t="s">
        <v>2936</v>
      </c>
      <c r="E267" s="9" t="s">
        <v>2937</v>
      </c>
      <c r="F267" s="9" t="s">
        <v>2815</v>
      </c>
      <c r="G267" s="8">
        <v>4.71</v>
      </c>
      <c r="H267" s="8">
        <v>54.7</v>
      </c>
      <c r="I267" s="8" t="s">
        <v>21</v>
      </c>
    </row>
    <row r="268" spans="1:9" ht="12.5">
      <c r="A268" s="20">
        <v>1429504</v>
      </c>
      <c r="B268" s="9" t="s">
        <v>225</v>
      </c>
      <c r="C268" s="9" t="s">
        <v>226</v>
      </c>
      <c r="D268" s="9" t="s">
        <v>2938</v>
      </c>
      <c r="E268" s="9" t="s">
        <v>2939</v>
      </c>
      <c r="F268" s="9" t="s">
        <v>2815</v>
      </c>
      <c r="G268" s="8">
        <v>4.68</v>
      </c>
      <c r="H268" s="8">
        <v>11.6</v>
      </c>
      <c r="I268" s="8" t="s">
        <v>21</v>
      </c>
    </row>
    <row r="269" spans="1:9" ht="12.5">
      <c r="A269" s="20">
        <v>2043766</v>
      </c>
      <c r="B269" s="9" t="s">
        <v>225</v>
      </c>
      <c r="C269" s="9" t="s">
        <v>398</v>
      </c>
      <c r="D269" s="9" t="s">
        <v>2940</v>
      </c>
      <c r="E269" s="9" t="s">
        <v>2941</v>
      </c>
      <c r="F269" s="9" t="s">
        <v>2942</v>
      </c>
      <c r="G269" s="8">
        <v>4.55</v>
      </c>
      <c r="H269" s="8">
        <v>1.6</v>
      </c>
      <c r="I269" s="8" t="s">
        <v>17</v>
      </c>
    </row>
    <row r="270" spans="1:9" ht="12.5">
      <c r="A270" s="20">
        <v>2208312</v>
      </c>
      <c r="B270" s="9" t="s">
        <v>225</v>
      </c>
      <c r="C270" s="9" t="s">
        <v>235</v>
      </c>
      <c r="D270" s="9" t="s">
        <v>2943</v>
      </c>
      <c r="E270" s="9" t="s">
        <v>2944</v>
      </c>
      <c r="F270" s="9" t="s">
        <v>2862</v>
      </c>
      <c r="G270" s="8">
        <v>4.5599999999999996</v>
      </c>
      <c r="H270" s="8">
        <v>9.3000000000000007</v>
      </c>
      <c r="I270" s="8" t="s">
        <v>17</v>
      </c>
    </row>
    <row r="271" spans="1:9" ht="12.5">
      <c r="A271" s="20">
        <v>2330254</v>
      </c>
      <c r="B271" s="9" t="s">
        <v>225</v>
      </c>
      <c r="C271" s="9" t="s">
        <v>398</v>
      </c>
      <c r="D271" s="9" t="s">
        <v>2945</v>
      </c>
      <c r="E271" s="9" t="s">
        <v>2946</v>
      </c>
      <c r="F271" s="9" t="s">
        <v>2830</v>
      </c>
      <c r="G271" s="8">
        <v>4.6900000000000004</v>
      </c>
      <c r="H271" s="8">
        <v>9.8000000000000007</v>
      </c>
      <c r="I271" s="8" t="s">
        <v>21</v>
      </c>
    </row>
    <row r="272" spans="1:9" ht="12.5">
      <c r="A272" s="20">
        <v>2703528</v>
      </c>
      <c r="B272" s="9" t="s">
        <v>225</v>
      </c>
      <c r="C272" s="9" t="s">
        <v>229</v>
      </c>
      <c r="D272" s="9" t="s">
        <v>2947</v>
      </c>
      <c r="E272" s="9" t="s">
        <v>2948</v>
      </c>
      <c r="F272" s="9" t="s">
        <v>2876</v>
      </c>
      <c r="G272" s="8">
        <v>4.49</v>
      </c>
      <c r="H272" s="8">
        <v>12</v>
      </c>
      <c r="I272" s="8" t="s">
        <v>21</v>
      </c>
    </row>
    <row r="273" spans="1:9" ht="12.5">
      <c r="A273" s="20">
        <v>1100338</v>
      </c>
      <c r="B273" s="9" t="s">
        <v>225</v>
      </c>
      <c r="C273" s="9" t="s">
        <v>229</v>
      </c>
      <c r="D273" s="9" t="s">
        <v>2949</v>
      </c>
      <c r="E273" s="9" t="s">
        <v>2950</v>
      </c>
      <c r="F273" s="9" t="s">
        <v>2951</v>
      </c>
      <c r="G273" s="8">
        <v>4.28</v>
      </c>
      <c r="H273" s="8">
        <v>3.8</v>
      </c>
      <c r="I273" s="8" t="s">
        <v>21</v>
      </c>
    </row>
    <row r="274" spans="1:9" ht="12.5">
      <c r="A274" s="20">
        <v>1556402</v>
      </c>
      <c r="B274" s="9" t="s">
        <v>225</v>
      </c>
      <c r="C274" s="9" t="s">
        <v>235</v>
      </c>
      <c r="D274" s="9" t="s">
        <v>2952</v>
      </c>
      <c r="E274" s="9" t="s">
        <v>2952</v>
      </c>
      <c r="F274" s="9" t="s">
        <v>2953</v>
      </c>
      <c r="G274" s="8">
        <v>4.62</v>
      </c>
      <c r="H274" s="8">
        <v>8.6</v>
      </c>
      <c r="I274" s="8" t="s">
        <v>17</v>
      </c>
    </row>
    <row r="275" spans="1:9" ht="12.5">
      <c r="A275" s="20">
        <v>1597778</v>
      </c>
      <c r="B275" s="9" t="s">
        <v>225</v>
      </c>
      <c r="C275" s="9" t="s">
        <v>1338</v>
      </c>
      <c r="D275" s="9" t="s">
        <v>2954</v>
      </c>
      <c r="E275" s="9" t="s">
        <v>2955</v>
      </c>
      <c r="F275" s="9" t="s">
        <v>2806</v>
      </c>
      <c r="G275" s="8">
        <v>4.74</v>
      </c>
      <c r="H275" s="8">
        <v>13</v>
      </c>
      <c r="I275" s="8" t="s">
        <v>21</v>
      </c>
    </row>
    <row r="276" spans="1:9" ht="12.5">
      <c r="A276" s="20">
        <v>2841348</v>
      </c>
      <c r="B276" s="9" t="s">
        <v>225</v>
      </c>
      <c r="C276" s="9" t="s">
        <v>235</v>
      </c>
      <c r="D276" s="9" t="s">
        <v>2956</v>
      </c>
      <c r="E276" s="9" t="s">
        <v>2957</v>
      </c>
      <c r="F276" s="9" t="s">
        <v>2694</v>
      </c>
      <c r="G276" s="8">
        <v>4.82</v>
      </c>
      <c r="H276" s="8">
        <v>12.8</v>
      </c>
      <c r="I276" s="8" t="s">
        <v>21</v>
      </c>
    </row>
    <row r="277" spans="1:9" ht="12.5">
      <c r="A277" s="20">
        <v>1068098</v>
      </c>
      <c r="B277" s="9" t="s">
        <v>225</v>
      </c>
      <c r="C277" s="9" t="s">
        <v>398</v>
      </c>
      <c r="D277" s="9" t="s">
        <v>2958</v>
      </c>
      <c r="E277" s="9" t="s">
        <v>2959</v>
      </c>
      <c r="F277" s="9" t="s">
        <v>2833</v>
      </c>
      <c r="G277" s="8">
        <v>4.68</v>
      </c>
      <c r="H277" s="8">
        <v>3.1</v>
      </c>
      <c r="I277" s="8" t="s">
        <v>21</v>
      </c>
    </row>
    <row r="278" spans="1:9" ht="12.5">
      <c r="A278" s="20">
        <v>1616938</v>
      </c>
      <c r="B278" s="9" t="s">
        <v>225</v>
      </c>
      <c r="C278" s="9" t="s">
        <v>235</v>
      </c>
      <c r="D278" s="9" t="s">
        <v>2960</v>
      </c>
      <c r="E278" s="9" t="s">
        <v>2961</v>
      </c>
      <c r="F278" s="9" t="s">
        <v>2962</v>
      </c>
      <c r="G278" s="8">
        <v>4.76</v>
      </c>
      <c r="H278" s="8">
        <v>54</v>
      </c>
      <c r="I278" s="8" t="s">
        <v>21</v>
      </c>
    </row>
    <row r="279" spans="1:9" ht="12.5">
      <c r="A279" s="20">
        <v>2276731</v>
      </c>
      <c r="B279" s="9" t="s">
        <v>225</v>
      </c>
      <c r="C279" s="9" t="s">
        <v>235</v>
      </c>
      <c r="D279" s="9" t="s">
        <v>2963</v>
      </c>
      <c r="E279" s="9" t="s">
        <v>2964</v>
      </c>
      <c r="F279" s="9" t="s">
        <v>2815</v>
      </c>
      <c r="G279" s="8">
        <v>4.7</v>
      </c>
      <c r="H279" s="8">
        <v>11.2</v>
      </c>
      <c r="I279" s="8" t="s">
        <v>72</v>
      </c>
    </row>
    <row r="280" spans="1:9" ht="12.5">
      <c r="A280" s="20">
        <v>2548889</v>
      </c>
      <c r="B280" s="9" t="s">
        <v>225</v>
      </c>
      <c r="C280" s="9" t="s">
        <v>235</v>
      </c>
      <c r="D280" s="9" t="s">
        <v>2965</v>
      </c>
      <c r="E280" s="9" t="s">
        <v>2966</v>
      </c>
      <c r="F280" s="9" t="s">
        <v>2694</v>
      </c>
      <c r="G280" s="8">
        <v>4.7300000000000004</v>
      </c>
      <c r="H280" s="8">
        <v>10.1</v>
      </c>
      <c r="I280" s="8" t="s">
        <v>21</v>
      </c>
    </row>
    <row r="281" spans="1:9" ht="12.5">
      <c r="A281" s="20">
        <v>2846712</v>
      </c>
      <c r="B281" s="9" t="s">
        <v>225</v>
      </c>
      <c r="C281" s="9" t="s">
        <v>278</v>
      </c>
      <c r="D281" s="9" t="s">
        <v>2967</v>
      </c>
      <c r="E281" s="9" t="s">
        <v>2967</v>
      </c>
      <c r="F281" s="9" t="s">
        <v>2835</v>
      </c>
      <c r="G281" s="8">
        <v>4.92</v>
      </c>
      <c r="H281" s="8">
        <v>17.8</v>
      </c>
      <c r="I281" s="8" t="s">
        <v>72</v>
      </c>
    </row>
    <row r="282" spans="1:9" ht="12.5">
      <c r="A282" s="20">
        <v>1212492</v>
      </c>
      <c r="B282" s="9" t="s">
        <v>225</v>
      </c>
      <c r="C282" s="9" t="s">
        <v>229</v>
      </c>
      <c r="D282" s="9" t="s">
        <v>2968</v>
      </c>
      <c r="E282" s="9" t="s">
        <v>2968</v>
      </c>
      <c r="F282" s="9" t="s">
        <v>2969</v>
      </c>
      <c r="G282" s="8">
        <v>4.79</v>
      </c>
      <c r="H282" s="8">
        <v>9.1</v>
      </c>
      <c r="I282" s="8" t="s">
        <v>17</v>
      </c>
    </row>
    <row r="283" spans="1:9" ht="12.5">
      <c r="A283" s="20">
        <v>1412476</v>
      </c>
      <c r="B283" s="9" t="s">
        <v>225</v>
      </c>
      <c r="C283" s="9" t="s">
        <v>226</v>
      </c>
      <c r="D283" s="9" t="s">
        <v>2970</v>
      </c>
      <c r="E283" s="9" t="s">
        <v>2971</v>
      </c>
      <c r="F283" s="9" t="s">
        <v>2815</v>
      </c>
      <c r="G283" s="8">
        <v>4.8099999999999996</v>
      </c>
      <c r="H283" s="8">
        <v>5.7</v>
      </c>
      <c r="I283" s="8" t="s">
        <v>21</v>
      </c>
    </row>
    <row r="284" spans="1:9" ht="12.5">
      <c r="A284" s="20">
        <v>907638</v>
      </c>
      <c r="B284" s="9" t="s">
        <v>225</v>
      </c>
      <c r="C284" s="9" t="s">
        <v>1338</v>
      </c>
      <c r="D284" s="9" t="s">
        <v>2972</v>
      </c>
      <c r="E284" s="9" t="s">
        <v>2973</v>
      </c>
      <c r="F284" s="9" t="s">
        <v>2974</v>
      </c>
      <c r="G284" s="8">
        <v>4.47</v>
      </c>
      <c r="H284" s="8">
        <v>3.8</v>
      </c>
      <c r="I284" s="8" t="s">
        <v>17</v>
      </c>
    </row>
    <row r="285" spans="1:9" ht="12.5">
      <c r="A285" s="20">
        <v>1221442</v>
      </c>
      <c r="B285" s="9" t="s">
        <v>225</v>
      </c>
      <c r="C285" s="9" t="s">
        <v>235</v>
      </c>
      <c r="D285" s="9" t="s">
        <v>2975</v>
      </c>
      <c r="E285" s="9" t="s">
        <v>2975</v>
      </c>
      <c r="F285" s="9" t="s">
        <v>2969</v>
      </c>
      <c r="G285" s="8">
        <v>4.5</v>
      </c>
      <c r="H285" s="8">
        <v>91.4</v>
      </c>
      <c r="I285" s="8" t="s">
        <v>21</v>
      </c>
    </row>
    <row r="286" spans="1:9" ht="12.5">
      <c r="A286" s="20">
        <v>1835990</v>
      </c>
      <c r="B286" s="9" t="s">
        <v>225</v>
      </c>
      <c r="C286" s="9" t="s">
        <v>229</v>
      </c>
      <c r="D286" s="9" t="s">
        <v>2976</v>
      </c>
      <c r="E286" s="9" t="s">
        <v>2977</v>
      </c>
      <c r="F286" s="9" t="s">
        <v>2978</v>
      </c>
      <c r="G286" s="8">
        <v>4.74</v>
      </c>
      <c r="H286" s="8">
        <v>4.5</v>
      </c>
      <c r="I286" s="8" t="s">
        <v>21</v>
      </c>
    </row>
    <row r="287" spans="1:9" ht="12.5">
      <c r="A287" s="20">
        <v>2286517</v>
      </c>
      <c r="B287" s="9" t="s">
        <v>225</v>
      </c>
      <c r="C287" s="9" t="s">
        <v>398</v>
      </c>
      <c r="D287" s="9" t="s">
        <v>2979</v>
      </c>
      <c r="E287" s="9" t="s">
        <v>2980</v>
      </c>
      <c r="F287" s="9" t="s">
        <v>2981</v>
      </c>
      <c r="G287" s="8">
        <v>4.4400000000000004</v>
      </c>
      <c r="H287" s="8">
        <v>3</v>
      </c>
      <c r="I287" s="8" t="s">
        <v>21</v>
      </c>
    </row>
    <row r="288" spans="1:9" ht="12.5">
      <c r="A288" s="20">
        <v>1349770</v>
      </c>
      <c r="B288" s="9" t="s">
        <v>225</v>
      </c>
      <c r="C288" s="9" t="s">
        <v>235</v>
      </c>
      <c r="D288" s="9" t="s">
        <v>2982</v>
      </c>
      <c r="E288" s="9" t="s">
        <v>2983</v>
      </c>
      <c r="F288" s="9" t="s">
        <v>2557</v>
      </c>
      <c r="G288" s="8">
        <v>4.57</v>
      </c>
      <c r="H288" s="8">
        <v>46.7</v>
      </c>
      <c r="I288" s="8" t="s">
        <v>21</v>
      </c>
    </row>
    <row r="289" spans="1:9" ht="12.5">
      <c r="A289" s="20">
        <v>2445530</v>
      </c>
      <c r="B289" s="9" t="s">
        <v>225</v>
      </c>
      <c r="C289" s="9" t="s">
        <v>235</v>
      </c>
      <c r="D289" s="9" t="s">
        <v>2984</v>
      </c>
      <c r="E289" s="9" t="s">
        <v>2985</v>
      </c>
      <c r="F289" s="9" t="s">
        <v>2318</v>
      </c>
      <c r="G289" s="8">
        <v>4.6399999999999997</v>
      </c>
      <c r="H289" s="8">
        <v>35.299999999999997</v>
      </c>
      <c r="I289" s="8" t="s">
        <v>17</v>
      </c>
    </row>
    <row r="290" spans="1:9" ht="12.5">
      <c r="A290" s="20">
        <v>1209500</v>
      </c>
      <c r="B290" s="9" t="s">
        <v>225</v>
      </c>
      <c r="C290" s="9" t="s">
        <v>226</v>
      </c>
      <c r="D290" s="9" t="s">
        <v>2986</v>
      </c>
      <c r="E290" s="9" t="s">
        <v>2987</v>
      </c>
      <c r="F290" s="9" t="s">
        <v>2969</v>
      </c>
      <c r="G290" s="8">
        <v>4.62</v>
      </c>
      <c r="H290" s="8">
        <v>42.4</v>
      </c>
      <c r="I290" s="8" t="s">
        <v>21</v>
      </c>
    </row>
    <row r="291" spans="1:9" ht="12.5">
      <c r="A291" s="20">
        <v>1420982</v>
      </c>
      <c r="B291" s="9" t="s">
        <v>225</v>
      </c>
      <c r="C291" s="9" t="s">
        <v>226</v>
      </c>
      <c r="D291" s="9" t="s">
        <v>2988</v>
      </c>
      <c r="E291" s="9" t="s">
        <v>2989</v>
      </c>
      <c r="F291" s="9" t="s">
        <v>2962</v>
      </c>
      <c r="G291" s="8">
        <v>4.72</v>
      </c>
      <c r="H291" s="8">
        <v>92.5</v>
      </c>
      <c r="I291" s="8" t="s">
        <v>21</v>
      </c>
    </row>
    <row r="292" spans="1:9" ht="12.5">
      <c r="A292" s="20">
        <v>1529576</v>
      </c>
      <c r="B292" s="9" t="s">
        <v>225</v>
      </c>
      <c r="C292" s="9" t="s">
        <v>235</v>
      </c>
      <c r="D292" s="9" t="s">
        <v>2990</v>
      </c>
      <c r="E292" s="9" t="s">
        <v>2991</v>
      </c>
      <c r="F292" s="9" t="s">
        <v>2581</v>
      </c>
      <c r="G292" s="8">
        <v>4.54</v>
      </c>
      <c r="H292" s="8">
        <v>6.8</v>
      </c>
      <c r="I292" s="8" t="s">
        <v>21</v>
      </c>
    </row>
    <row r="293" spans="1:9" ht="12.5">
      <c r="A293" s="20">
        <v>1867214</v>
      </c>
      <c r="B293" s="9" t="s">
        <v>225</v>
      </c>
      <c r="C293" s="9" t="s">
        <v>226</v>
      </c>
      <c r="D293" s="9" t="s">
        <v>2992</v>
      </c>
      <c r="E293" s="9" t="s">
        <v>2993</v>
      </c>
      <c r="F293" s="9" t="s">
        <v>2815</v>
      </c>
      <c r="G293" s="8">
        <v>4.58</v>
      </c>
      <c r="H293" s="8">
        <v>25.8</v>
      </c>
      <c r="I293" s="8" t="s">
        <v>21</v>
      </c>
    </row>
    <row r="294" spans="1:9" ht="12.5">
      <c r="A294" s="20">
        <v>2037548</v>
      </c>
      <c r="B294" s="9" t="s">
        <v>225</v>
      </c>
      <c r="C294" s="9" t="s">
        <v>235</v>
      </c>
      <c r="D294" s="9" t="s">
        <v>2994</v>
      </c>
      <c r="E294" s="9" t="s">
        <v>2995</v>
      </c>
      <c r="F294" s="9" t="s">
        <v>2815</v>
      </c>
      <c r="G294" s="8">
        <v>4.67</v>
      </c>
      <c r="H294" s="8">
        <v>42.8</v>
      </c>
      <c r="I294" s="8" t="s">
        <v>21</v>
      </c>
    </row>
    <row r="295" spans="1:9" ht="12.5">
      <c r="A295" s="20">
        <v>1978332</v>
      </c>
      <c r="B295" s="9" t="s">
        <v>225</v>
      </c>
      <c r="C295" s="9" t="s">
        <v>235</v>
      </c>
      <c r="D295" s="9" t="s">
        <v>2996</v>
      </c>
      <c r="E295" s="9" t="s">
        <v>2997</v>
      </c>
      <c r="F295" s="9" t="s">
        <v>2694</v>
      </c>
      <c r="G295" s="8">
        <v>4.68</v>
      </c>
      <c r="H295" s="8">
        <v>9.6</v>
      </c>
      <c r="I295" s="8" t="s">
        <v>21</v>
      </c>
    </row>
    <row r="296" spans="1:9" ht="12.5">
      <c r="A296" s="20">
        <v>2173004</v>
      </c>
      <c r="B296" s="9" t="s">
        <v>225</v>
      </c>
      <c r="C296" s="9" t="s">
        <v>278</v>
      </c>
      <c r="D296" s="9" t="s">
        <v>2998</v>
      </c>
      <c r="E296" s="9" t="s">
        <v>2999</v>
      </c>
      <c r="F296" s="9" t="s">
        <v>2575</v>
      </c>
      <c r="G296" s="8">
        <v>4.6100000000000003</v>
      </c>
      <c r="H296" s="8">
        <v>61.7</v>
      </c>
      <c r="I296" s="8" t="s">
        <v>21</v>
      </c>
    </row>
    <row r="297" spans="1:9" ht="12.5">
      <c r="A297" s="20">
        <v>3077852</v>
      </c>
      <c r="B297" s="9" t="s">
        <v>225</v>
      </c>
      <c r="C297" s="9" t="s">
        <v>235</v>
      </c>
      <c r="D297" s="9" t="s">
        <v>3000</v>
      </c>
      <c r="E297" s="9" t="s">
        <v>3001</v>
      </c>
      <c r="F297" s="9" t="s">
        <v>3002</v>
      </c>
      <c r="G297" s="8">
        <v>4.62</v>
      </c>
      <c r="H297" s="8">
        <v>20</v>
      </c>
      <c r="I297" s="8" t="s">
        <v>72</v>
      </c>
    </row>
    <row r="298" spans="1:9" ht="12.5">
      <c r="A298" s="20">
        <v>831404</v>
      </c>
      <c r="B298" s="9" t="s">
        <v>225</v>
      </c>
      <c r="C298" s="9" t="s">
        <v>288</v>
      </c>
      <c r="D298" s="9" t="s">
        <v>3003</v>
      </c>
      <c r="E298" s="9" t="s">
        <v>3004</v>
      </c>
      <c r="F298" s="9" t="s">
        <v>3005</v>
      </c>
      <c r="G298" s="8">
        <v>4.75</v>
      </c>
      <c r="H298" s="8">
        <v>4.2</v>
      </c>
      <c r="I298" s="8" t="s">
        <v>21</v>
      </c>
    </row>
    <row r="299" spans="1:9" ht="12.5">
      <c r="A299" s="20">
        <v>1048978</v>
      </c>
      <c r="B299" s="9" t="s">
        <v>225</v>
      </c>
      <c r="C299" s="9" t="s">
        <v>226</v>
      </c>
      <c r="D299" s="9" t="s">
        <v>3006</v>
      </c>
      <c r="E299" s="9" t="s">
        <v>3007</v>
      </c>
      <c r="F299" s="9" t="s">
        <v>3008</v>
      </c>
      <c r="G299" s="8">
        <v>4.1900000000000004</v>
      </c>
      <c r="H299" s="8">
        <v>9.6</v>
      </c>
      <c r="I299" s="8" t="s">
        <v>17</v>
      </c>
    </row>
    <row r="300" spans="1:9" ht="12.5">
      <c r="A300" s="20">
        <v>1195840</v>
      </c>
      <c r="B300" s="9" t="s">
        <v>225</v>
      </c>
      <c r="C300" s="9" t="s">
        <v>235</v>
      </c>
      <c r="D300" s="9" t="s">
        <v>3009</v>
      </c>
      <c r="E300" s="9" t="s">
        <v>3010</v>
      </c>
      <c r="F300" s="9" t="s">
        <v>3011</v>
      </c>
      <c r="G300" s="8">
        <v>4.4800000000000004</v>
      </c>
      <c r="H300" s="8">
        <v>3.1</v>
      </c>
      <c r="I300" s="8" t="s">
        <v>17</v>
      </c>
    </row>
    <row r="301" spans="1:9" ht="12.5">
      <c r="A301" s="20">
        <v>2365916</v>
      </c>
      <c r="B301" s="9" t="s">
        <v>225</v>
      </c>
      <c r="C301" s="9" t="s">
        <v>235</v>
      </c>
      <c r="D301" s="9" t="s">
        <v>3012</v>
      </c>
      <c r="E301" s="9" t="s">
        <v>3013</v>
      </c>
      <c r="F301" s="9" t="s">
        <v>3014</v>
      </c>
      <c r="G301" s="8">
        <v>4.62</v>
      </c>
      <c r="H301" s="8">
        <v>17.7</v>
      </c>
      <c r="I301" s="8" t="s">
        <v>21</v>
      </c>
    </row>
    <row r="302" spans="1:9" ht="12.5">
      <c r="A302" s="20">
        <v>1088442</v>
      </c>
      <c r="B302" s="9" t="s">
        <v>225</v>
      </c>
      <c r="C302" s="9" t="s">
        <v>385</v>
      </c>
      <c r="D302" s="9" t="s">
        <v>3015</v>
      </c>
      <c r="E302" s="9" t="s">
        <v>3016</v>
      </c>
      <c r="F302" s="9" t="s">
        <v>2673</v>
      </c>
      <c r="G302" s="8">
        <v>4.4800000000000004</v>
      </c>
      <c r="H302" s="8">
        <v>95</v>
      </c>
      <c r="I302" s="8" t="s">
        <v>17</v>
      </c>
    </row>
    <row r="303" spans="1:9" ht="12.5">
      <c r="A303" s="20">
        <v>1631400</v>
      </c>
      <c r="B303" s="9" t="s">
        <v>225</v>
      </c>
      <c r="C303" s="9" t="s">
        <v>235</v>
      </c>
      <c r="D303" s="9" t="s">
        <v>3017</v>
      </c>
      <c r="E303" s="9" t="s">
        <v>3018</v>
      </c>
      <c r="F303" s="9" t="s">
        <v>3019</v>
      </c>
      <c r="G303" s="8">
        <v>4.49</v>
      </c>
      <c r="H303" s="8">
        <v>6.8</v>
      </c>
      <c r="I303" s="8" t="s">
        <v>72</v>
      </c>
    </row>
    <row r="304" spans="1:9" ht="12.5">
      <c r="A304" s="20">
        <v>1755476</v>
      </c>
      <c r="B304" s="9" t="s">
        <v>225</v>
      </c>
      <c r="C304" s="9" t="s">
        <v>235</v>
      </c>
      <c r="D304" s="9" t="s">
        <v>3020</v>
      </c>
      <c r="E304" s="9" t="s">
        <v>3021</v>
      </c>
      <c r="F304" s="9" t="s">
        <v>3022</v>
      </c>
      <c r="G304" s="8">
        <v>4.72</v>
      </c>
      <c r="H304" s="8">
        <v>6.3</v>
      </c>
      <c r="I304" s="8" t="s">
        <v>17</v>
      </c>
    </row>
    <row r="305" spans="1:9" ht="12.5">
      <c r="A305" s="20">
        <v>1013310</v>
      </c>
      <c r="B305" s="9" t="s">
        <v>225</v>
      </c>
      <c r="C305" s="9" t="s">
        <v>235</v>
      </c>
      <c r="D305" s="9" t="s">
        <v>3023</v>
      </c>
      <c r="E305" s="9" t="s">
        <v>3024</v>
      </c>
      <c r="F305" s="9" t="s">
        <v>2815</v>
      </c>
      <c r="G305" s="8">
        <v>4.58</v>
      </c>
      <c r="H305" s="8">
        <v>13.3</v>
      </c>
      <c r="I305" s="8" t="s">
        <v>72</v>
      </c>
    </row>
    <row r="306" spans="1:9" ht="12.5">
      <c r="A306" s="20">
        <v>1277248</v>
      </c>
      <c r="B306" s="9" t="s">
        <v>225</v>
      </c>
      <c r="C306" s="9" t="s">
        <v>278</v>
      </c>
      <c r="D306" s="9" t="s">
        <v>3025</v>
      </c>
      <c r="E306" s="9" t="s">
        <v>3026</v>
      </c>
      <c r="F306" s="9" t="s">
        <v>3027</v>
      </c>
      <c r="G306" s="8">
        <v>4.74</v>
      </c>
      <c r="H306" s="8">
        <v>83.1</v>
      </c>
      <c r="I306" s="8" t="s">
        <v>21</v>
      </c>
    </row>
    <row r="307" spans="1:9" ht="12.5">
      <c r="A307" s="20">
        <v>1474244</v>
      </c>
      <c r="B307" s="9" t="s">
        <v>225</v>
      </c>
      <c r="C307" s="9" t="s">
        <v>398</v>
      </c>
      <c r="D307" s="9" t="s">
        <v>3028</v>
      </c>
      <c r="E307" s="9" t="s">
        <v>3029</v>
      </c>
      <c r="F307" s="9" t="s">
        <v>2830</v>
      </c>
      <c r="G307" s="8">
        <v>4.46</v>
      </c>
      <c r="H307" s="8">
        <v>7.7</v>
      </c>
      <c r="I307" s="8" t="s">
        <v>21</v>
      </c>
    </row>
    <row r="308" spans="1:9" ht="12.5">
      <c r="A308" s="20">
        <v>2576102</v>
      </c>
      <c r="B308" s="9" t="s">
        <v>225</v>
      </c>
      <c r="C308" s="9" t="s">
        <v>226</v>
      </c>
      <c r="D308" s="9" t="s">
        <v>3030</v>
      </c>
      <c r="E308" s="9" t="s">
        <v>3031</v>
      </c>
      <c r="F308" s="9" t="s">
        <v>2318</v>
      </c>
      <c r="G308" s="8">
        <v>4.76</v>
      </c>
      <c r="H308" s="8">
        <v>27</v>
      </c>
      <c r="I308" s="8" t="s">
        <v>17</v>
      </c>
    </row>
    <row r="309" spans="1:9" ht="12.5">
      <c r="A309" s="20">
        <v>2320034</v>
      </c>
      <c r="B309" s="9" t="s">
        <v>225</v>
      </c>
      <c r="C309" s="9" t="s">
        <v>235</v>
      </c>
      <c r="D309" s="9" t="s">
        <v>3032</v>
      </c>
      <c r="E309" s="9" t="s">
        <v>3033</v>
      </c>
      <c r="F309" s="9" t="s">
        <v>2815</v>
      </c>
      <c r="G309" s="8">
        <v>4.8899999999999997</v>
      </c>
      <c r="H309" s="8">
        <v>14.7</v>
      </c>
      <c r="I309" s="8" t="s">
        <v>72</v>
      </c>
    </row>
    <row r="310" spans="1:9" ht="12.5">
      <c r="A310" s="20">
        <v>2451136</v>
      </c>
      <c r="B310" s="9" t="s">
        <v>225</v>
      </c>
      <c r="C310" s="9" t="s">
        <v>1338</v>
      </c>
      <c r="D310" s="9" t="s">
        <v>3034</v>
      </c>
      <c r="E310" s="9" t="s">
        <v>3035</v>
      </c>
      <c r="F310" s="9" t="s">
        <v>3036</v>
      </c>
      <c r="G310" s="8">
        <v>4.5999999999999996</v>
      </c>
      <c r="H310" s="8">
        <v>9.5</v>
      </c>
      <c r="I310" s="8" t="s">
        <v>72</v>
      </c>
    </row>
    <row r="311" spans="1:9" ht="12.5">
      <c r="A311" s="20">
        <v>2999782</v>
      </c>
      <c r="B311" s="9" t="s">
        <v>225</v>
      </c>
      <c r="C311" s="9" t="s">
        <v>235</v>
      </c>
      <c r="D311" s="9" t="s">
        <v>3037</v>
      </c>
      <c r="E311" s="9" t="s">
        <v>3038</v>
      </c>
      <c r="F311" s="9" t="s">
        <v>3039</v>
      </c>
      <c r="G311" s="8">
        <v>4.6900000000000004</v>
      </c>
      <c r="H311" s="8">
        <v>7.6</v>
      </c>
      <c r="I311" s="8" t="s">
        <v>17</v>
      </c>
    </row>
    <row r="312" spans="1:9" ht="12.5">
      <c r="A312" s="20">
        <v>613912</v>
      </c>
      <c r="B312" s="9" t="s">
        <v>225</v>
      </c>
      <c r="C312" s="9" t="s">
        <v>235</v>
      </c>
      <c r="D312" s="9" t="s">
        <v>3040</v>
      </c>
      <c r="E312" s="9" t="s">
        <v>3041</v>
      </c>
      <c r="F312" s="9" t="s">
        <v>3042</v>
      </c>
      <c r="G312" s="8">
        <v>4.67</v>
      </c>
      <c r="H312" s="8">
        <v>3.9</v>
      </c>
      <c r="I312" s="8" t="s">
        <v>72</v>
      </c>
    </row>
    <row r="313" spans="1:9" ht="12.5">
      <c r="A313" s="20">
        <v>1265680</v>
      </c>
      <c r="B313" s="9" t="s">
        <v>225</v>
      </c>
      <c r="C313" s="9" t="s">
        <v>278</v>
      </c>
      <c r="D313" s="9" t="s">
        <v>3043</v>
      </c>
      <c r="E313" s="9" t="s">
        <v>3044</v>
      </c>
      <c r="F313" s="9" t="s">
        <v>2575</v>
      </c>
      <c r="G313" s="8">
        <v>4.49</v>
      </c>
      <c r="H313" s="8">
        <v>12.6</v>
      </c>
      <c r="I313" s="8" t="s">
        <v>21</v>
      </c>
    </row>
    <row r="314" spans="1:9" ht="12.5">
      <c r="A314" s="20">
        <v>1337284</v>
      </c>
      <c r="B314" s="9" t="s">
        <v>225</v>
      </c>
      <c r="C314" s="9" t="s">
        <v>226</v>
      </c>
      <c r="D314" s="9" t="s">
        <v>3045</v>
      </c>
      <c r="E314" s="9" t="s">
        <v>3046</v>
      </c>
      <c r="F314" s="9" t="s">
        <v>2962</v>
      </c>
      <c r="G314" s="8">
        <v>4.7300000000000004</v>
      </c>
      <c r="H314" s="8">
        <v>11.4</v>
      </c>
      <c r="I314" s="8" t="s">
        <v>17</v>
      </c>
    </row>
    <row r="315" spans="1:9" ht="12.5">
      <c r="A315" s="20">
        <v>1343872</v>
      </c>
      <c r="B315" s="9" t="s">
        <v>225</v>
      </c>
      <c r="C315" s="9" t="s">
        <v>235</v>
      </c>
      <c r="D315" s="9" t="s">
        <v>3047</v>
      </c>
      <c r="E315" s="9" t="s">
        <v>3048</v>
      </c>
      <c r="F315" s="9" t="s">
        <v>3049</v>
      </c>
      <c r="G315" s="8">
        <v>4.91</v>
      </c>
      <c r="H315" s="8">
        <v>1.6</v>
      </c>
      <c r="I315" s="8" t="s">
        <v>21</v>
      </c>
    </row>
    <row r="316" spans="1:9" ht="12.5">
      <c r="A316" s="20">
        <v>2083768</v>
      </c>
      <c r="B316" s="9" t="s">
        <v>225</v>
      </c>
      <c r="C316" s="9" t="s">
        <v>398</v>
      </c>
      <c r="D316" s="9" t="s">
        <v>3050</v>
      </c>
      <c r="E316" s="9" t="s">
        <v>3051</v>
      </c>
      <c r="F316" s="9" t="s">
        <v>2830</v>
      </c>
      <c r="G316" s="8">
        <v>4.79</v>
      </c>
      <c r="H316" s="8">
        <v>15.3</v>
      </c>
      <c r="I316" s="8" t="s">
        <v>21</v>
      </c>
    </row>
    <row r="317" spans="1:9" ht="12.5">
      <c r="A317" s="20">
        <v>2534488</v>
      </c>
      <c r="B317" s="9" t="s">
        <v>225</v>
      </c>
      <c r="C317" s="9" t="s">
        <v>398</v>
      </c>
      <c r="D317" s="9" t="s">
        <v>3052</v>
      </c>
      <c r="E317" s="9" t="s">
        <v>3053</v>
      </c>
      <c r="F317" s="9" t="s">
        <v>2931</v>
      </c>
      <c r="G317" s="8">
        <v>4.82</v>
      </c>
      <c r="H317" s="8">
        <v>6.9</v>
      </c>
      <c r="I317" s="8" t="s">
        <v>72</v>
      </c>
    </row>
    <row r="318" spans="1:9" ht="12.5">
      <c r="A318" s="20">
        <v>620660</v>
      </c>
      <c r="B318" s="9" t="s">
        <v>225</v>
      </c>
      <c r="C318" s="9" t="s">
        <v>278</v>
      </c>
      <c r="D318" s="9" t="s">
        <v>3054</v>
      </c>
      <c r="E318" s="9" t="s">
        <v>3055</v>
      </c>
      <c r="F318" s="9" t="s">
        <v>2575</v>
      </c>
      <c r="G318" s="8">
        <v>4.67</v>
      </c>
      <c r="H318" s="8">
        <v>53.9</v>
      </c>
      <c r="I318" s="8" t="s">
        <v>21</v>
      </c>
    </row>
    <row r="319" spans="1:9" ht="12.5">
      <c r="A319" s="20">
        <v>1172610</v>
      </c>
      <c r="B319" s="9" t="s">
        <v>225</v>
      </c>
      <c r="C319" s="9" t="s">
        <v>226</v>
      </c>
      <c r="D319" s="9" t="s">
        <v>3056</v>
      </c>
      <c r="E319" s="9" t="s">
        <v>3057</v>
      </c>
      <c r="F319" s="9" t="s">
        <v>2859</v>
      </c>
      <c r="G319" s="8">
        <v>4.58</v>
      </c>
      <c r="H319" s="8">
        <v>12.1</v>
      </c>
      <c r="I319" s="8" t="s">
        <v>17</v>
      </c>
    </row>
    <row r="320" spans="1:9" ht="12.5">
      <c r="A320" s="20">
        <v>1357688</v>
      </c>
      <c r="B320" s="9" t="s">
        <v>225</v>
      </c>
      <c r="C320" s="9" t="s">
        <v>226</v>
      </c>
      <c r="D320" s="9" t="s">
        <v>3058</v>
      </c>
      <c r="E320" s="9" t="s">
        <v>3059</v>
      </c>
      <c r="F320" s="9" t="s">
        <v>3060</v>
      </c>
      <c r="G320" s="8">
        <v>4.47</v>
      </c>
      <c r="H320" s="8">
        <v>19.600000000000001</v>
      </c>
      <c r="I320" s="8" t="s">
        <v>21</v>
      </c>
    </row>
    <row r="321" spans="1:9" ht="12.5">
      <c r="A321" s="20">
        <v>1899018</v>
      </c>
      <c r="B321" s="9" t="s">
        <v>225</v>
      </c>
      <c r="C321" s="9" t="s">
        <v>235</v>
      </c>
      <c r="D321" s="9" t="s">
        <v>3061</v>
      </c>
      <c r="E321" s="9" t="s">
        <v>3062</v>
      </c>
      <c r="F321" s="9" t="s">
        <v>2304</v>
      </c>
      <c r="G321" s="8">
        <v>4.53</v>
      </c>
      <c r="H321" s="8">
        <v>12</v>
      </c>
      <c r="I321" s="8" t="s">
        <v>21</v>
      </c>
    </row>
    <row r="322" spans="1:9" ht="12.5">
      <c r="A322" s="20">
        <v>1261284</v>
      </c>
      <c r="B322" s="9" t="s">
        <v>225</v>
      </c>
      <c r="C322" s="9" t="s">
        <v>235</v>
      </c>
      <c r="D322" s="9" t="s">
        <v>3063</v>
      </c>
      <c r="E322" s="9" t="s">
        <v>3063</v>
      </c>
      <c r="F322" s="9" t="s">
        <v>2859</v>
      </c>
      <c r="G322" s="8">
        <v>4.74</v>
      </c>
      <c r="H322" s="8">
        <v>15.6</v>
      </c>
      <c r="I322" s="8" t="s">
        <v>21</v>
      </c>
    </row>
    <row r="323" spans="1:9" ht="12.5">
      <c r="A323" s="20">
        <v>1467388</v>
      </c>
      <c r="B323" s="9" t="s">
        <v>225</v>
      </c>
      <c r="C323" s="9" t="s">
        <v>288</v>
      </c>
      <c r="D323" s="9" t="s">
        <v>3064</v>
      </c>
      <c r="E323" s="9" t="s">
        <v>3065</v>
      </c>
      <c r="F323" s="9" t="s">
        <v>2371</v>
      </c>
      <c r="G323" s="8">
        <v>4.54</v>
      </c>
      <c r="H323" s="8">
        <v>16</v>
      </c>
      <c r="I323" s="8" t="s">
        <v>21</v>
      </c>
    </row>
    <row r="324" spans="1:9" ht="12.5">
      <c r="A324" s="20">
        <v>1632208</v>
      </c>
      <c r="B324" s="9" t="s">
        <v>225</v>
      </c>
      <c r="C324" s="9" t="s">
        <v>235</v>
      </c>
      <c r="D324" s="9" t="s">
        <v>3066</v>
      </c>
      <c r="E324" s="9" t="s">
        <v>3067</v>
      </c>
      <c r="F324" s="9" t="s">
        <v>2557</v>
      </c>
      <c r="G324" s="8">
        <v>4.5599999999999996</v>
      </c>
      <c r="H324" s="8">
        <v>38.700000000000003</v>
      </c>
      <c r="I324" s="8" t="s">
        <v>259</v>
      </c>
    </row>
    <row r="325" spans="1:9" ht="12.5">
      <c r="A325" s="20">
        <v>1100206</v>
      </c>
      <c r="B325" s="9" t="s">
        <v>225</v>
      </c>
      <c r="C325" s="9" t="s">
        <v>226</v>
      </c>
      <c r="D325" s="9" t="s">
        <v>3068</v>
      </c>
      <c r="E325" s="9" t="s">
        <v>3069</v>
      </c>
      <c r="F325" s="9" t="s">
        <v>3070</v>
      </c>
      <c r="G325" s="8">
        <v>4.26</v>
      </c>
      <c r="H325" s="8">
        <v>4.0999999999999996</v>
      </c>
      <c r="I325" s="8" t="s">
        <v>17</v>
      </c>
    </row>
    <row r="326" spans="1:9" ht="12.5">
      <c r="A326" s="20">
        <v>1280456</v>
      </c>
      <c r="B326" s="9" t="s">
        <v>225</v>
      </c>
      <c r="C326" s="9" t="s">
        <v>278</v>
      </c>
      <c r="D326" s="9" t="s">
        <v>3071</v>
      </c>
      <c r="E326" s="9" t="s">
        <v>3072</v>
      </c>
      <c r="F326" s="9" t="s">
        <v>2575</v>
      </c>
      <c r="G326" s="8">
        <v>4.5599999999999996</v>
      </c>
      <c r="H326" s="8">
        <v>49.5</v>
      </c>
      <c r="I326" s="8" t="s">
        <v>21</v>
      </c>
    </row>
    <row r="327" spans="1:9" ht="12.5">
      <c r="A327" s="20">
        <v>1308722</v>
      </c>
      <c r="B327" s="9" t="s">
        <v>225</v>
      </c>
      <c r="C327" s="9" t="s">
        <v>278</v>
      </c>
      <c r="D327" s="9" t="s">
        <v>3073</v>
      </c>
      <c r="E327" s="9" t="s">
        <v>3074</v>
      </c>
      <c r="F327" s="9" t="s">
        <v>2815</v>
      </c>
      <c r="G327" s="8">
        <v>4.6399999999999997</v>
      </c>
      <c r="H327" s="8">
        <v>13.9</v>
      </c>
      <c r="I327" s="8" t="s">
        <v>21</v>
      </c>
    </row>
    <row r="328" spans="1:9" ht="12.5">
      <c r="A328" s="20">
        <v>1745296</v>
      </c>
      <c r="B328" s="9" t="s">
        <v>225</v>
      </c>
      <c r="C328" s="9" t="s">
        <v>288</v>
      </c>
      <c r="D328" s="9" t="s">
        <v>3075</v>
      </c>
      <c r="E328" s="9" t="s">
        <v>3076</v>
      </c>
      <c r="F328" s="9" t="s">
        <v>2838</v>
      </c>
      <c r="G328" s="8">
        <v>4.79</v>
      </c>
      <c r="H328" s="8">
        <v>40.799999999999997</v>
      </c>
      <c r="I328" s="8" t="s">
        <v>21</v>
      </c>
    </row>
    <row r="329" spans="1:9" ht="12.5">
      <c r="A329" s="20">
        <v>1927236</v>
      </c>
      <c r="B329" s="9" t="s">
        <v>225</v>
      </c>
      <c r="C329" s="9" t="s">
        <v>235</v>
      </c>
      <c r="D329" s="9" t="s">
        <v>3077</v>
      </c>
      <c r="E329" s="9" t="s">
        <v>3078</v>
      </c>
      <c r="F329" s="9" t="s">
        <v>3019</v>
      </c>
      <c r="G329" s="8">
        <v>4.46</v>
      </c>
      <c r="H329" s="8">
        <v>16</v>
      </c>
      <c r="I329" s="8" t="s">
        <v>259</v>
      </c>
    </row>
    <row r="330" spans="1:9" ht="12.5">
      <c r="A330" s="20">
        <v>2231672</v>
      </c>
      <c r="B330" s="9" t="s">
        <v>225</v>
      </c>
      <c r="C330" s="9" t="s">
        <v>235</v>
      </c>
      <c r="D330" s="9" t="s">
        <v>3079</v>
      </c>
      <c r="E330" s="9" t="s">
        <v>3080</v>
      </c>
      <c r="F330" s="9" t="s">
        <v>2694</v>
      </c>
      <c r="G330" s="8">
        <v>4.7300000000000004</v>
      </c>
      <c r="H330" s="8">
        <v>18.3</v>
      </c>
      <c r="I330" s="8" t="s">
        <v>21</v>
      </c>
    </row>
    <row r="331" spans="1:9" ht="12.5">
      <c r="A331" s="20">
        <v>2300438</v>
      </c>
      <c r="B331" s="9" t="s">
        <v>225</v>
      </c>
      <c r="C331" s="9" t="s">
        <v>235</v>
      </c>
      <c r="D331" s="9" t="s">
        <v>3081</v>
      </c>
      <c r="E331" s="9" t="s">
        <v>3082</v>
      </c>
      <c r="F331" s="9" t="s">
        <v>2815</v>
      </c>
      <c r="G331" s="8">
        <v>4.76</v>
      </c>
      <c r="H331" s="8">
        <v>73.599999999999994</v>
      </c>
      <c r="I331" s="8" t="s">
        <v>21</v>
      </c>
    </row>
    <row r="332" spans="1:9" ht="12.5">
      <c r="A332" s="20">
        <v>3192260</v>
      </c>
      <c r="B332" s="9" t="s">
        <v>225</v>
      </c>
      <c r="C332" s="9" t="s">
        <v>278</v>
      </c>
      <c r="D332" s="9" t="s">
        <v>3083</v>
      </c>
      <c r="E332" s="9" t="s">
        <v>3084</v>
      </c>
      <c r="F332" s="9" t="s">
        <v>2869</v>
      </c>
      <c r="G332" s="8">
        <v>4.7</v>
      </c>
      <c r="H332" s="8">
        <v>33.4</v>
      </c>
      <c r="I332" s="8" t="s">
        <v>72</v>
      </c>
    </row>
    <row r="333" spans="1:9" ht="12.5">
      <c r="A333" s="20">
        <v>3499442</v>
      </c>
      <c r="B333" s="9" t="s">
        <v>225</v>
      </c>
      <c r="C333" s="9" t="s">
        <v>226</v>
      </c>
      <c r="D333" s="9" t="s">
        <v>3085</v>
      </c>
      <c r="E333" s="9" t="s">
        <v>3086</v>
      </c>
      <c r="F333" s="9" t="s">
        <v>2815</v>
      </c>
      <c r="G333" s="8">
        <v>4.7300000000000004</v>
      </c>
      <c r="H333" s="8">
        <v>17.7</v>
      </c>
      <c r="I333" s="8" t="s">
        <v>17</v>
      </c>
    </row>
    <row r="334" spans="1:9" ht="12.5">
      <c r="A334" s="20">
        <v>1158058</v>
      </c>
      <c r="B334" s="9" t="s">
        <v>225</v>
      </c>
      <c r="C334" s="9" t="s">
        <v>235</v>
      </c>
      <c r="D334" s="9" t="s">
        <v>3087</v>
      </c>
      <c r="E334" s="9" t="s">
        <v>3088</v>
      </c>
      <c r="F334" s="9" t="s">
        <v>2681</v>
      </c>
      <c r="G334" s="8">
        <v>4.68</v>
      </c>
      <c r="H334" s="8">
        <v>6.5</v>
      </c>
      <c r="I334" s="8" t="s">
        <v>17</v>
      </c>
    </row>
    <row r="335" spans="1:9" ht="12.5">
      <c r="A335" s="20">
        <v>1458018</v>
      </c>
      <c r="B335" s="9" t="s">
        <v>225</v>
      </c>
      <c r="C335" s="9" t="s">
        <v>235</v>
      </c>
      <c r="D335" s="9" t="s">
        <v>3089</v>
      </c>
      <c r="E335" s="9" t="s">
        <v>3090</v>
      </c>
      <c r="F335" s="9" t="s">
        <v>3049</v>
      </c>
      <c r="G335" s="8">
        <v>4.58</v>
      </c>
      <c r="H335" s="8">
        <v>1.3</v>
      </c>
      <c r="I335" s="8" t="s">
        <v>21</v>
      </c>
    </row>
    <row r="336" spans="1:9" ht="12.5">
      <c r="A336" s="20">
        <v>1694986</v>
      </c>
      <c r="B336" s="9" t="s">
        <v>225</v>
      </c>
      <c r="C336" s="9" t="s">
        <v>235</v>
      </c>
      <c r="D336" s="9" t="s">
        <v>3091</v>
      </c>
      <c r="E336" s="9" t="s">
        <v>3092</v>
      </c>
      <c r="F336" s="9" t="s">
        <v>2859</v>
      </c>
      <c r="G336" s="8">
        <v>4.8099999999999996</v>
      </c>
      <c r="H336" s="8">
        <v>47.9</v>
      </c>
      <c r="I336" s="8" t="s">
        <v>21</v>
      </c>
    </row>
    <row r="337" spans="1:9" ht="12.5">
      <c r="A337" s="20">
        <v>2205026</v>
      </c>
      <c r="B337" s="9" t="s">
        <v>225</v>
      </c>
      <c r="C337" s="9" t="s">
        <v>235</v>
      </c>
      <c r="D337" s="9" t="s">
        <v>3093</v>
      </c>
      <c r="E337" s="9" t="s">
        <v>3094</v>
      </c>
      <c r="F337" s="9" t="s">
        <v>3095</v>
      </c>
      <c r="G337" s="8">
        <v>4.4400000000000004</v>
      </c>
      <c r="H337" s="8">
        <v>5.8</v>
      </c>
      <c r="I337" s="8" t="s">
        <v>17</v>
      </c>
    </row>
    <row r="338" spans="1:9" ht="12.5">
      <c r="A338" s="20">
        <v>1345324</v>
      </c>
      <c r="B338" s="9" t="s">
        <v>225</v>
      </c>
      <c r="C338" s="9" t="s">
        <v>278</v>
      </c>
      <c r="D338" s="9" t="s">
        <v>3096</v>
      </c>
      <c r="E338" s="9" t="s">
        <v>3097</v>
      </c>
      <c r="F338" s="9" t="s">
        <v>2673</v>
      </c>
      <c r="G338" s="8">
        <v>4.57</v>
      </c>
      <c r="H338" s="8">
        <v>71.099999999999994</v>
      </c>
      <c r="I338" s="8" t="s">
        <v>21</v>
      </c>
    </row>
    <row r="339" spans="1:9" ht="12.5">
      <c r="A339" s="20">
        <v>1691694</v>
      </c>
      <c r="B339" s="9" t="s">
        <v>225</v>
      </c>
      <c r="C339" s="9" t="s">
        <v>235</v>
      </c>
      <c r="D339" s="9" t="s">
        <v>3098</v>
      </c>
      <c r="E339" s="9" t="s">
        <v>3099</v>
      </c>
      <c r="F339" s="9" t="s">
        <v>2447</v>
      </c>
      <c r="G339" s="8">
        <v>4.5999999999999996</v>
      </c>
      <c r="H339" s="8">
        <v>19.100000000000001</v>
      </c>
      <c r="I339" s="8" t="s">
        <v>21</v>
      </c>
    </row>
    <row r="340" spans="1:9" ht="12.5">
      <c r="A340" s="20">
        <v>1917570</v>
      </c>
      <c r="B340" s="9" t="s">
        <v>225</v>
      </c>
      <c r="C340" s="9" t="s">
        <v>278</v>
      </c>
      <c r="D340" s="9" t="s">
        <v>3100</v>
      </c>
      <c r="E340" s="9" t="s">
        <v>3101</v>
      </c>
      <c r="F340" s="9" t="s">
        <v>3102</v>
      </c>
      <c r="G340" s="8">
        <v>4.8099999999999996</v>
      </c>
      <c r="H340" s="8">
        <v>23.8</v>
      </c>
      <c r="I340" s="8" t="s">
        <v>17</v>
      </c>
    </row>
    <row r="341" spans="1:9" ht="12.5">
      <c r="A341" s="20">
        <v>1932892</v>
      </c>
      <c r="B341" s="9" t="s">
        <v>225</v>
      </c>
      <c r="C341" s="9" t="s">
        <v>288</v>
      </c>
      <c r="D341" s="9" t="s">
        <v>3103</v>
      </c>
      <c r="E341" s="9" t="s">
        <v>3104</v>
      </c>
      <c r="F341" s="9" t="s">
        <v>2339</v>
      </c>
      <c r="G341" s="8">
        <v>4.4800000000000004</v>
      </c>
      <c r="H341" s="8">
        <v>14</v>
      </c>
      <c r="I341" s="8" t="s">
        <v>17</v>
      </c>
    </row>
    <row r="342" spans="1:9" ht="12.5">
      <c r="A342" s="20">
        <v>2017312</v>
      </c>
      <c r="B342" s="9" t="s">
        <v>225</v>
      </c>
      <c r="C342" s="9" t="s">
        <v>278</v>
      </c>
      <c r="D342" s="9" t="s">
        <v>3105</v>
      </c>
      <c r="E342" s="9" t="s">
        <v>3106</v>
      </c>
      <c r="F342" s="9" t="s">
        <v>3014</v>
      </c>
      <c r="G342" s="8">
        <v>4.72</v>
      </c>
      <c r="H342" s="8">
        <v>19.8</v>
      </c>
      <c r="I342" s="8" t="s">
        <v>21</v>
      </c>
    </row>
    <row r="343" spans="1:9" ht="12.5">
      <c r="A343" s="20">
        <v>2246722</v>
      </c>
      <c r="B343" s="9" t="s">
        <v>225</v>
      </c>
      <c r="C343" s="9" t="s">
        <v>235</v>
      </c>
      <c r="D343" s="9" t="s">
        <v>3107</v>
      </c>
      <c r="E343" s="9" t="s">
        <v>3108</v>
      </c>
      <c r="F343" s="9" t="s">
        <v>2575</v>
      </c>
      <c r="G343" s="8">
        <v>4.7</v>
      </c>
      <c r="H343" s="8">
        <v>23.6</v>
      </c>
      <c r="I343" s="8" t="s">
        <v>17</v>
      </c>
    </row>
    <row r="344" spans="1:9" ht="12.5">
      <c r="A344" s="20">
        <v>2838102</v>
      </c>
      <c r="B344" s="9" t="s">
        <v>225</v>
      </c>
      <c r="C344" s="9" t="s">
        <v>235</v>
      </c>
      <c r="D344" s="9" t="s">
        <v>3109</v>
      </c>
      <c r="E344" s="9" t="s">
        <v>3110</v>
      </c>
      <c r="F344" s="9" t="s">
        <v>2843</v>
      </c>
      <c r="G344" s="8">
        <v>4.71</v>
      </c>
      <c r="H344" s="8">
        <v>24.7</v>
      </c>
      <c r="I344" s="8" t="s">
        <v>21</v>
      </c>
    </row>
    <row r="345" spans="1:9" ht="12.5">
      <c r="A345" s="20">
        <v>1303314</v>
      </c>
      <c r="B345" s="9" t="s">
        <v>225</v>
      </c>
      <c r="C345" s="9" t="s">
        <v>278</v>
      </c>
      <c r="D345" s="9" t="s">
        <v>3111</v>
      </c>
      <c r="E345" s="9" t="s">
        <v>3112</v>
      </c>
      <c r="F345" s="9" t="s">
        <v>3008</v>
      </c>
      <c r="G345" s="8">
        <v>4.68</v>
      </c>
      <c r="H345" s="8">
        <v>13.6</v>
      </c>
      <c r="I345" s="8" t="s">
        <v>259</v>
      </c>
    </row>
    <row r="346" spans="1:9" ht="12.5">
      <c r="A346" s="20">
        <v>2263542</v>
      </c>
      <c r="B346" s="9" t="s">
        <v>225</v>
      </c>
      <c r="C346" s="9" t="s">
        <v>385</v>
      </c>
      <c r="D346" s="9" t="s">
        <v>3113</v>
      </c>
      <c r="E346" s="9" t="s">
        <v>3114</v>
      </c>
      <c r="F346" s="9" t="s">
        <v>3115</v>
      </c>
      <c r="G346" s="8">
        <v>4.46</v>
      </c>
      <c r="H346" s="8">
        <v>24</v>
      </c>
      <c r="I346" s="8" t="s">
        <v>72</v>
      </c>
    </row>
    <row r="347" spans="1:9" ht="12.5">
      <c r="A347" s="20">
        <v>2517200</v>
      </c>
      <c r="B347" s="9" t="s">
        <v>225</v>
      </c>
      <c r="C347" s="9" t="s">
        <v>235</v>
      </c>
      <c r="D347" s="9" t="s">
        <v>3116</v>
      </c>
      <c r="E347" s="9" t="s">
        <v>3117</v>
      </c>
      <c r="F347" s="9" t="s">
        <v>2325</v>
      </c>
      <c r="G347" s="8">
        <v>4.67</v>
      </c>
      <c r="H347" s="8">
        <v>6.8</v>
      </c>
      <c r="I347" s="8" t="s">
        <v>72</v>
      </c>
    </row>
    <row r="348" spans="1:9" ht="12.5">
      <c r="A348" s="20">
        <v>2547319</v>
      </c>
      <c r="B348" s="9" t="s">
        <v>225</v>
      </c>
      <c r="C348" s="9" t="s">
        <v>288</v>
      </c>
      <c r="D348" s="9" t="s">
        <v>3118</v>
      </c>
      <c r="E348" s="9" t="s">
        <v>3119</v>
      </c>
      <c r="F348" s="9" t="s">
        <v>2371</v>
      </c>
      <c r="G348" s="8">
        <v>4.55</v>
      </c>
      <c r="H348" s="8">
        <v>14.8</v>
      </c>
      <c r="I348" s="8" t="s">
        <v>21</v>
      </c>
    </row>
    <row r="349" spans="1:9" ht="12.5">
      <c r="A349" s="20">
        <v>2873764</v>
      </c>
      <c r="B349" s="9" t="s">
        <v>225</v>
      </c>
      <c r="C349" s="9" t="s">
        <v>229</v>
      </c>
      <c r="D349" s="9" t="s">
        <v>3120</v>
      </c>
      <c r="E349" s="9" t="s">
        <v>3121</v>
      </c>
      <c r="F349" s="9" t="s">
        <v>2325</v>
      </c>
      <c r="G349" s="8">
        <v>4.5999999999999996</v>
      </c>
      <c r="H349" s="8">
        <v>17.8</v>
      </c>
      <c r="I349" s="8" t="s">
        <v>21</v>
      </c>
    </row>
    <row r="350" spans="1:9" ht="12.5">
      <c r="A350" s="20">
        <v>3392888</v>
      </c>
      <c r="B350" s="9" t="s">
        <v>225</v>
      </c>
      <c r="C350" s="9" t="s">
        <v>229</v>
      </c>
      <c r="D350" s="9" t="s">
        <v>3122</v>
      </c>
      <c r="E350" s="9" t="s">
        <v>3123</v>
      </c>
      <c r="F350" s="9" t="s">
        <v>2318</v>
      </c>
      <c r="G350" s="8">
        <v>4.58</v>
      </c>
      <c r="H350" s="8">
        <v>9.9</v>
      </c>
      <c r="I350" s="8" t="s">
        <v>17</v>
      </c>
    </row>
    <row r="351" spans="1:9" ht="12.5">
      <c r="A351" s="20">
        <v>1026958</v>
      </c>
      <c r="B351" s="9" t="s">
        <v>225</v>
      </c>
      <c r="C351" s="9" t="s">
        <v>288</v>
      </c>
      <c r="D351" s="9" t="s">
        <v>3124</v>
      </c>
      <c r="E351" s="9" t="s">
        <v>3124</v>
      </c>
      <c r="F351" s="9" t="s">
        <v>2339</v>
      </c>
      <c r="G351" s="8">
        <v>4.59</v>
      </c>
      <c r="H351" s="8">
        <v>7.1</v>
      </c>
      <c r="I351" s="8" t="s">
        <v>17</v>
      </c>
    </row>
    <row r="352" spans="1:9" ht="12.5">
      <c r="A352" s="20">
        <v>1082928</v>
      </c>
      <c r="B352" s="9" t="s">
        <v>225</v>
      </c>
      <c r="C352" s="9" t="s">
        <v>235</v>
      </c>
      <c r="D352" s="9" t="s">
        <v>3125</v>
      </c>
      <c r="E352" s="9" t="s">
        <v>3126</v>
      </c>
      <c r="F352" s="9" t="s">
        <v>2859</v>
      </c>
      <c r="G352" s="8">
        <v>4.92</v>
      </c>
      <c r="H352" s="8">
        <v>12</v>
      </c>
      <c r="I352" s="8" t="s">
        <v>72</v>
      </c>
    </row>
    <row r="353" spans="1:9" ht="12.5">
      <c r="A353" s="20">
        <v>1251400</v>
      </c>
      <c r="B353" s="9" t="s">
        <v>225</v>
      </c>
      <c r="C353" s="9" t="s">
        <v>226</v>
      </c>
      <c r="D353" s="9" t="s">
        <v>3127</v>
      </c>
      <c r="E353" s="9" t="s">
        <v>3128</v>
      </c>
      <c r="F353" s="9" t="s">
        <v>2859</v>
      </c>
      <c r="G353" s="8">
        <v>4.87</v>
      </c>
      <c r="H353" s="8">
        <v>6.6</v>
      </c>
      <c r="I353" s="8" t="s">
        <v>17</v>
      </c>
    </row>
    <row r="354" spans="1:9" ht="12.5">
      <c r="A354" s="20">
        <v>1445688</v>
      </c>
      <c r="B354" s="9" t="s">
        <v>225</v>
      </c>
      <c r="C354" s="9" t="s">
        <v>235</v>
      </c>
      <c r="D354" s="9" t="s">
        <v>3129</v>
      </c>
      <c r="E354" s="9" t="s">
        <v>3130</v>
      </c>
      <c r="F354" s="9" t="s">
        <v>3131</v>
      </c>
      <c r="G354" s="8">
        <v>4.66</v>
      </c>
      <c r="H354" s="8">
        <v>12.2</v>
      </c>
      <c r="I354" s="8" t="s">
        <v>17</v>
      </c>
    </row>
    <row r="355" spans="1:9" ht="12.5">
      <c r="A355" s="20">
        <v>1547426</v>
      </c>
      <c r="B355" s="9" t="s">
        <v>225</v>
      </c>
      <c r="C355" s="9" t="s">
        <v>235</v>
      </c>
      <c r="D355" s="9" t="s">
        <v>3132</v>
      </c>
      <c r="E355" s="9" t="s">
        <v>3133</v>
      </c>
      <c r="F355" s="9" t="s">
        <v>3134</v>
      </c>
      <c r="G355" s="8">
        <v>4.57</v>
      </c>
      <c r="H355" s="8">
        <v>12.1</v>
      </c>
      <c r="I355" s="8" t="s">
        <v>72</v>
      </c>
    </row>
    <row r="356" spans="1:9" ht="12.5">
      <c r="A356" s="20">
        <v>1566920</v>
      </c>
      <c r="B356" s="9" t="s">
        <v>225</v>
      </c>
      <c r="C356" s="9" t="s">
        <v>278</v>
      </c>
      <c r="D356" s="9" t="s">
        <v>3135</v>
      </c>
      <c r="E356" s="9" t="s">
        <v>3136</v>
      </c>
      <c r="F356" s="9" t="s">
        <v>2887</v>
      </c>
      <c r="G356" s="8">
        <v>4.47</v>
      </c>
      <c r="H356" s="8">
        <v>31.3</v>
      </c>
      <c r="I356" s="8" t="s">
        <v>21</v>
      </c>
    </row>
    <row r="357" spans="1:9" ht="12.5">
      <c r="A357" s="20">
        <v>1653790</v>
      </c>
      <c r="B357" s="9" t="s">
        <v>225</v>
      </c>
      <c r="C357" s="9" t="s">
        <v>226</v>
      </c>
      <c r="D357" s="9" t="s">
        <v>3137</v>
      </c>
      <c r="E357" s="9" t="s">
        <v>3138</v>
      </c>
      <c r="F357" s="9" t="s">
        <v>3139</v>
      </c>
      <c r="G357" s="8">
        <v>4.62</v>
      </c>
      <c r="H357" s="8">
        <v>13.1</v>
      </c>
      <c r="I357" s="8" t="s">
        <v>17</v>
      </c>
    </row>
    <row r="358" spans="1:9" ht="12.5">
      <c r="A358" s="20">
        <v>1755282</v>
      </c>
      <c r="B358" s="9" t="s">
        <v>225</v>
      </c>
      <c r="C358" s="9" t="s">
        <v>235</v>
      </c>
      <c r="D358" s="9" t="s">
        <v>3140</v>
      </c>
      <c r="E358" s="9" t="s">
        <v>3141</v>
      </c>
      <c r="F358" s="9" t="s">
        <v>3142</v>
      </c>
      <c r="G358" s="8">
        <v>4.37</v>
      </c>
      <c r="H358" s="8">
        <v>31.9</v>
      </c>
      <c r="I358" s="8" t="s">
        <v>21</v>
      </c>
    </row>
    <row r="359" spans="1:9" ht="12.5">
      <c r="A359" s="20">
        <v>1778834</v>
      </c>
      <c r="B359" s="9" t="s">
        <v>225</v>
      </c>
      <c r="C359" s="9" t="s">
        <v>288</v>
      </c>
      <c r="D359" s="9" t="s">
        <v>3143</v>
      </c>
      <c r="E359" s="9" t="s">
        <v>3144</v>
      </c>
      <c r="F359" s="9" t="s">
        <v>2388</v>
      </c>
      <c r="G359" s="8">
        <v>4.13</v>
      </c>
      <c r="H359" s="8">
        <v>4.4000000000000004</v>
      </c>
      <c r="I359" s="8" t="s">
        <v>17</v>
      </c>
    </row>
    <row r="360" spans="1:9" ht="12.5">
      <c r="A360" s="20">
        <v>1956908</v>
      </c>
      <c r="B360" s="9" t="s">
        <v>225</v>
      </c>
      <c r="C360" s="9" t="s">
        <v>235</v>
      </c>
      <c r="D360" s="9" t="s">
        <v>3145</v>
      </c>
      <c r="E360" s="9" t="s">
        <v>3146</v>
      </c>
      <c r="F360" s="9" t="s">
        <v>2325</v>
      </c>
      <c r="G360" s="8">
        <v>4.58</v>
      </c>
      <c r="H360" s="8">
        <v>15</v>
      </c>
      <c r="I360" s="8" t="s">
        <v>17</v>
      </c>
    </row>
    <row r="361" spans="1:9" ht="12.5">
      <c r="A361" s="20">
        <v>1994772</v>
      </c>
      <c r="B361" s="9" t="s">
        <v>225</v>
      </c>
      <c r="C361" s="9" t="s">
        <v>235</v>
      </c>
      <c r="D361" s="9" t="s">
        <v>3147</v>
      </c>
      <c r="E361" s="9" t="s">
        <v>3148</v>
      </c>
      <c r="F361" s="9" t="s">
        <v>3149</v>
      </c>
      <c r="G361" s="8">
        <v>4.24</v>
      </c>
      <c r="H361" s="8">
        <v>2</v>
      </c>
      <c r="I361" s="8" t="s">
        <v>21</v>
      </c>
    </row>
    <row r="362" spans="1:9" ht="12.5">
      <c r="A362" s="20">
        <v>2781978</v>
      </c>
      <c r="B362" s="9" t="s">
        <v>225</v>
      </c>
      <c r="C362" s="9" t="s">
        <v>235</v>
      </c>
      <c r="D362" s="9" t="s">
        <v>3150</v>
      </c>
      <c r="E362" s="9" t="s">
        <v>3151</v>
      </c>
      <c r="F362" s="9" t="s">
        <v>2318</v>
      </c>
      <c r="G362" s="8">
        <v>4.7699999999999996</v>
      </c>
      <c r="H362" s="8">
        <v>9.3000000000000007</v>
      </c>
      <c r="I362" s="8" t="s">
        <v>72</v>
      </c>
    </row>
    <row r="363" spans="1:9" ht="12.5">
      <c r="A363" s="20">
        <v>677674</v>
      </c>
      <c r="B363" s="9" t="s">
        <v>225</v>
      </c>
      <c r="C363" s="9" t="s">
        <v>385</v>
      </c>
      <c r="D363" s="9" t="s">
        <v>3152</v>
      </c>
      <c r="E363" s="9" t="s">
        <v>3153</v>
      </c>
      <c r="F363" s="9" t="s">
        <v>2792</v>
      </c>
      <c r="G363" s="8">
        <v>4.55</v>
      </c>
      <c r="H363" s="8">
        <v>29</v>
      </c>
      <c r="I363" s="8" t="s">
        <v>17</v>
      </c>
    </row>
    <row r="364" spans="1:9" ht="12.5">
      <c r="A364" s="20">
        <v>1149510</v>
      </c>
      <c r="B364" s="9" t="s">
        <v>225</v>
      </c>
      <c r="C364" s="9" t="s">
        <v>235</v>
      </c>
      <c r="D364" s="9" t="s">
        <v>3154</v>
      </c>
      <c r="E364" s="9" t="s">
        <v>3155</v>
      </c>
      <c r="F364" s="9" t="s">
        <v>3011</v>
      </c>
      <c r="G364" s="8">
        <v>4.4800000000000004</v>
      </c>
      <c r="H364" s="8">
        <v>4.5</v>
      </c>
      <c r="I364" s="8" t="s">
        <v>17</v>
      </c>
    </row>
    <row r="365" spans="1:9" ht="12.5">
      <c r="A365" s="20">
        <v>1478360</v>
      </c>
      <c r="B365" s="9" t="s">
        <v>225</v>
      </c>
      <c r="C365" s="9" t="s">
        <v>235</v>
      </c>
      <c r="D365" s="9" t="s">
        <v>3156</v>
      </c>
      <c r="E365" s="9" t="s">
        <v>3157</v>
      </c>
      <c r="F365" s="9" t="s">
        <v>2815</v>
      </c>
      <c r="G365" s="8">
        <v>4.57</v>
      </c>
      <c r="H365" s="8">
        <v>7.1</v>
      </c>
      <c r="I365" s="8" t="s">
        <v>72</v>
      </c>
    </row>
    <row r="366" spans="1:9" ht="12.5">
      <c r="A366" s="20">
        <v>1595076</v>
      </c>
      <c r="B366" s="9" t="s">
        <v>225</v>
      </c>
      <c r="C366" s="9" t="s">
        <v>235</v>
      </c>
      <c r="D366" s="9" t="s">
        <v>3158</v>
      </c>
      <c r="E366" s="9" t="s">
        <v>3159</v>
      </c>
      <c r="F366" s="9" t="s">
        <v>2557</v>
      </c>
      <c r="G366" s="8">
        <v>4.91</v>
      </c>
      <c r="H366" s="8">
        <v>4.9000000000000004</v>
      </c>
      <c r="I366" s="8" t="s">
        <v>72</v>
      </c>
    </row>
    <row r="367" spans="1:9" ht="12.5">
      <c r="A367" s="20">
        <v>1725384</v>
      </c>
      <c r="B367" s="9" t="s">
        <v>225</v>
      </c>
      <c r="C367" s="9" t="s">
        <v>226</v>
      </c>
      <c r="D367" s="9" t="s">
        <v>3160</v>
      </c>
      <c r="E367" s="9" t="s">
        <v>3161</v>
      </c>
      <c r="F367" s="9" t="s">
        <v>2318</v>
      </c>
      <c r="G367" s="8">
        <v>4.4400000000000004</v>
      </c>
      <c r="H367" s="8">
        <v>23.9</v>
      </c>
      <c r="I367" s="8" t="s">
        <v>17</v>
      </c>
    </row>
    <row r="368" spans="1:9" ht="12.5">
      <c r="A368" s="20">
        <v>3412306</v>
      </c>
      <c r="B368" s="9" t="s">
        <v>225</v>
      </c>
      <c r="C368" s="9" t="s">
        <v>226</v>
      </c>
      <c r="D368" s="9" t="s">
        <v>3162</v>
      </c>
      <c r="E368" s="9" t="s">
        <v>3163</v>
      </c>
      <c r="F368" s="9" t="s">
        <v>2815</v>
      </c>
      <c r="G368" s="8">
        <v>4.71</v>
      </c>
      <c r="H368" s="8">
        <v>13.6</v>
      </c>
      <c r="I368" s="8" t="s">
        <v>21</v>
      </c>
    </row>
    <row r="369" spans="1:9" ht="12.5">
      <c r="A369" s="20">
        <v>693522</v>
      </c>
      <c r="B369" s="9" t="s">
        <v>225</v>
      </c>
      <c r="C369" s="9" t="s">
        <v>278</v>
      </c>
      <c r="D369" s="9" t="s">
        <v>3164</v>
      </c>
      <c r="E369" s="9" t="s">
        <v>3165</v>
      </c>
      <c r="F369" s="9" t="s">
        <v>2575</v>
      </c>
      <c r="G369" s="8">
        <v>4.42</v>
      </c>
      <c r="H369" s="8">
        <v>9.3000000000000007</v>
      </c>
      <c r="I369" s="8" t="s">
        <v>17</v>
      </c>
    </row>
    <row r="370" spans="1:9" ht="12.5">
      <c r="A370" s="20">
        <v>1144720</v>
      </c>
      <c r="B370" s="9" t="s">
        <v>225</v>
      </c>
      <c r="C370" s="9" t="s">
        <v>278</v>
      </c>
      <c r="D370" s="9" t="s">
        <v>3166</v>
      </c>
      <c r="E370" s="9" t="s">
        <v>3167</v>
      </c>
      <c r="F370" s="9" t="s">
        <v>2825</v>
      </c>
      <c r="G370" s="8">
        <v>4.8</v>
      </c>
      <c r="H370" s="8">
        <v>27.2</v>
      </c>
      <c r="I370" s="8" t="s">
        <v>21</v>
      </c>
    </row>
    <row r="371" spans="1:9" ht="12.5">
      <c r="A371" s="20">
        <v>1176204</v>
      </c>
      <c r="B371" s="9" t="s">
        <v>225</v>
      </c>
      <c r="C371" s="9" t="s">
        <v>235</v>
      </c>
      <c r="D371" s="9" t="s">
        <v>3168</v>
      </c>
      <c r="E371" s="9" t="s">
        <v>3169</v>
      </c>
      <c r="F371" s="9" t="s">
        <v>3049</v>
      </c>
      <c r="G371" s="8">
        <v>4.17</v>
      </c>
      <c r="H371" s="8">
        <v>2.8</v>
      </c>
      <c r="I371" s="8" t="s">
        <v>21</v>
      </c>
    </row>
    <row r="372" spans="1:9" ht="12.5">
      <c r="A372" s="20">
        <v>1692520</v>
      </c>
      <c r="B372" s="9" t="s">
        <v>225</v>
      </c>
      <c r="C372" s="9" t="s">
        <v>226</v>
      </c>
      <c r="D372" s="9" t="s">
        <v>3170</v>
      </c>
      <c r="E372" s="9" t="s">
        <v>3171</v>
      </c>
      <c r="F372" s="9" t="s">
        <v>3172</v>
      </c>
      <c r="G372" s="8">
        <v>4.58</v>
      </c>
      <c r="H372" s="8">
        <v>18.3</v>
      </c>
      <c r="I372" s="8" t="s">
        <v>21</v>
      </c>
    </row>
    <row r="373" spans="1:9" ht="12.5">
      <c r="A373" s="20">
        <v>1757034</v>
      </c>
      <c r="B373" s="9" t="s">
        <v>225</v>
      </c>
      <c r="C373" s="9" t="s">
        <v>288</v>
      </c>
      <c r="D373" s="9" t="s">
        <v>3173</v>
      </c>
      <c r="E373" s="9" t="s">
        <v>3173</v>
      </c>
      <c r="F373" s="9" t="s">
        <v>2371</v>
      </c>
      <c r="G373" s="8">
        <v>4.7</v>
      </c>
      <c r="H373" s="8">
        <v>5</v>
      </c>
      <c r="I373" s="8" t="s">
        <v>72</v>
      </c>
    </row>
    <row r="374" spans="1:9" ht="12.5">
      <c r="A374" s="20">
        <v>1775708</v>
      </c>
      <c r="B374" s="9" t="s">
        <v>225</v>
      </c>
      <c r="C374" s="9" t="s">
        <v>288</v>
      </c>
      <c r="D374" s="9" t="s">
        <v>3174</v>
      </c>
      <c r="E374" s="9" t="s">
        <v>3175</v>
      </c>
      <c r="F374" s="9" t="s">
        <v>3176</v>
      </c>
      <c r="G374" s="8">
        <v>4.55</v>
      </c>
      <c r="H374" s="8">
        <v>8.3000000000000007</v>
      </c>
      <c r="I374" s="8" t="s">
        <v>21</v>
      </c>
    </row>
    <row r="375" spans="1:9" ht="12.5">
      <c r="A375" s="20">
        <v>2244874</v>
      </c>
      <c r="B375" s="9" t="s">
        <v>225</v>
      </c>
      <c r="C375" s="9" t="s">
        <v>226</v>
      </c>
      <c r="D375" s="9" t="s">
        <v>3177</v>
      </c>
      <c r="E375" s="9" t="s">
        <v>3178</v>
      </c>
      <c r="F375" s="9" t="s">
        <v>3179</v>
      </c>
      <c r="G375" s="8">
        <v>4.68</v>
      </c>
      <c r="H375" s="8">
        <v>5.5</v>
      </c>
      <c r="I375" s="8" t="s">
        <v>72</v>
      </c>
    </row>
    <row r="376" spans="1:9" ht="12.5">
      <c r="A376" s="20">
        <v>2333938</v>
      </c>
      <c r="B376" s="9" t="s">
        <v>225</v>
      </c>
      <c r="C376" s="9" t="s">
        <v>385</v>
      </c>
      <c r="D376" s="9" t="s">
        <v>3180</v>
      </c>
      <c r="E376" s="9" t="s">
        <v>3181</v>
      </c>
      <c r="F376" s="9" t="s">
        <v>2673</v>
      </c>
      <c r="G376" s="8">
        <v>4.3499999999999996</v>
      </c>
      <c r="H376" s="8">
        <v>20.7</v>
      </c>
      <c r="I376" s="8" t="s">
        <v>21</v>
      </c>
    </row>
    <row r="377" spans="1:9" ht="12.5">
      <c r="A377" s="20">
        <v>2362200</v>
      </c>
      <c r="B377" s="9" t="s">
        <v>225</v>
      </c>
      <c r="C377" s="9" t="s">
        <v>235</v>
      </c>
      <c r="D377" s="9" t="s">
        <v>3182</v>
      </c>
      <c r="E377" s="9" t="s">
        <v>3182</v>
      </c>
      <c r="F377" s="9" t="s">
        <v>2953</v>
      </c>
      <c r="G377" s="8">
        <v>4.82</v>
      </c>
      <c r="H377" s="8">
        <v>11.4</v>
      </c>
      <c r="I377" s="8" t="s">
        <v>72</v>
      </c>
    </row>
    <row r="378" spans="1:9" ht="12.5">
      <c r="A378" s="20">
        <v>2558174</v>
      </c>
      <c r="B378" s="9" t="s">
        <v>225</v>
      </c>
      <c r="C378" s="9" t="s">
        <v>235</v>
      </c>
      <c r="D378" s="9" t="s">
        <v>3183</v>
      </c>
      <c r="E378" s="9" t="s">
        <v>3184</v>
      </c>
      <c r="F378" s="9" t="s">
        <v>2887</v>
      </c>
      <c r="G378" s="8">
        <v>4.58</v>
      </c>
      <c r="H378" s="8">
        <v>11.2</v>
      </c>
      <c r="I378" s="8" t="s">
        <v>21</v>
      </c>
    </row>
    <row r="379" spans="1:9" ht="12.5">
      <c r="A379" s="20">
        <v>659250</v>
      </c>
      <c r="B379" s="9" t="s">
        <v>225</v>
      </c>
      <c r="C379" s="9" t="s">
        <v>229</v>
      </c>
      <c r="D379" s="9" t="s">
        <v>3185</v>
      </c>
      <c r="E379" s="9" t="s">
        <v>3186</v>
      </c>
      <c r="F379" s="9" t="s">
        <v>3187</v>
      </c>
      <c r="G379" s="8">
        <v>4.6900000000000004</v>
      </c>
      <c r="H379" s="8">
        <v>6.2</v>
      </c>
      <c r="I379" s="8" t="s">
        <v>21</v>
      </c>
    </row>
    <row r="380" spans="1:9" ht="12.5">
      <c r="A380" s="20">
        <v>799230</v>
      </c>
      <c r="B380" s="9" t="s">
        <v>225</v>
      </c>
      <c r="C380" s="9" t="s">
        <v>235</v>
      </c>
      <c r="D380" s="9" t="s">
        <v>3188</v>
      </c>
      <c r="E380" s="9" t="s">
        <v>3189</v>
      </c>
      <c r="F380" s="9" t="s">
        <v>2575</v>
      </c>
      <c r="G380" s="8">
        <v>4.62</v>
      </c>
      <c r="H380" s="8">
        <v>7.7</v>
      </c>
      <c r="I380" s="8" t="s">
        <v>21</v>
      </c>
    </row>
    <row r="381" spans="1:9" ht="12.5">
      <c r="A381" s="20">
        <v>2196754</v>
      </c>
      <c r="B381" s="9" t="s">
        <v>225</v>
      </c>
      <c r="C381" s="9" t="s">
        <v>278</v>
      </c>
      <c r="D381" s="9" t="s">
        <v>3190</v>
      </c>
      <c r="E381" s="9" t="s">
        <v>3191</v>
      </c>
      <c r="F381" s="9" t="s">
        <v>2810</v>
      </c>
      <c r="G381" s="8">
        <v>4.67</v>
      </c>
      <c r="H381" s="8">
        <v>22.5</v>
      </c>
      <c r="I381" s="8" t="s">
        <v>17</v>
      </c>
    </row>
    <row r="382" spans="1:9" ht="12.5">
      <c r="A382" s="20">
        <v>2235088</v>
      </c>
      <c r="B382" s="9" t="s">
        <v>225</v>
      </c>
      <c r="C382" s="9" t="s">
        <v>229</v>
      </c>
      <c r="D382" s="9" t="s">
        <v>3192</v>
      </c>
      <c r="E382" s="9" t="s">
        <v>3193</v>
      </c>
      <c r="F382" s="9" t="s">
        <v>3194</v>
      </c>
      <c r="G382" s="8">
        <v>4.49</v>
      </c>
      <c r="H382" s="8">
        <v>8.1</v>
      </c>
      <c r="I382" s="8" t="s">
        <v>21</v>
      </c>
    </row>
    <row r="383" spans="1:9" ht="12.5">
      <c r="A383" s="20">
        <v>2298834</v>
      </c>
      <c r="B383" s="9" t="s">
        <v>225</v>
      </c>
      <c r="C383" s="9" t="s">
        <v>229</v>
      </c>
      <c r="D383" s="9" t="s">
        <v>3195</v>
      </c>
      <c r="E383" s="9" t="s">
        <v>3195</v>
      </c>
      <c r="F383" s="9" t="s">
        <v>2862</v>
      </c>
      <c r="G383" s="8">
        <v>4.6100000000000003</v>
      </c>
      <c r="H383" s="8">
        <v>6.1</v>
      </c>
      <c r="I383" s="8" t="s">
        <v>72</v>
      </c>
    </row>
    <row r="384" spans="1:9" ht="12.5">
      <c r="A384" s="20">
        <v>2592790</v>
      </c>
      <c r="B384" s="9" t="s">
        <v>225</v>
      </c>
      <c r="C384" s="9" t="s">
        <v>235</v>
      </c>
      <c r="D384" s="9" t="s">
        <v>3196</v>
      </c>
      <c r="E384" s="9" t="s">
        <v>3197</v>
      </c>
      <c r="F384" s="9" t="s">
        <v>3019</v>
      </c>
      <c r="G384" s="8">
        <v>4.6100000000000003</v>
      </c>
      <c r="H384" s="8">
        <v>4.4000000000000004</v>
      </c>
      <c r="I384" s="8" t="s">
        <v>17</v>
      </c>
    </row>
    <row r="385" spans="1:9" ht="12.5">
      <c r="A385" s="20">
        <v>2597586</v>
      </c>
      <c r="B385" s="9" t="s">
        <v>225</v>
      </c>
      <c r="C385" s="9" t="s">
        <v>235</v>
      </c>
      <c r="D385" s="9" t="s">
        <v>3198</v>
      </c>
      <c r="E385" s="9" t="s">
        <v>3199</v>
      </c>
      <c r="F385" s="9" t="s">
        <v>2694</v>
      </c>
      <c r="G385" s="8">
        <v>4.8600000000000003</v>
      </c>
      <c r="H385" s="8">
        <v>11.7</v>
      </c>
      <c r="I385" s="8" t="s">
        <v>21</v>
      </c>
    </row>
    <row r="386" spans="1:9" ht="12.5">
      <c r="A386" s="20">
        <v>2737420</v>
      </c>
      <c r="B386" s="9" t="s">
        <v>225</v>
      </c>
      <c r="C386" s="9" t="s">
        <v>235</v>
      </c>
      <c r="D386" s="9" t="s">
        <v>3200</v>
      </c>
      <c r="E386" s="9" t="s">
        <v>3201</v>
      </c>
      <c r="F386" s="9" t="s">
        <v>3202</v>
      </c>
      <c r="G386" s="8">
        <v>4.55</v>
      </c>
      <c r="H386" s="8">
        <v>48.8</v>
      </c>
      <c r="I386" s="8" t="s">
        <v>21</v>
      </c>
    </row>
    <row r="387" spans="1:9" ht="12.5">
      <c r="A387" s="20">
        <v>2792326</v>
      </c>
      <c r="B387" s="9" t="s">
        <v>225</v>
      </c>
      <c r="C387" s="9" t="s">
        <v>235</v>
      </c>
      <c r="D387" s="9" t="s">
        <v>3203</v>
      </c>
      <c r="E387" s="9" t="s">
        <v>3204</v>
      </c>
      <c r="F387" s="9" t="s">
        <v>3134</v>
      </c>
      <c r="G387" s="8">
        <v>4.84</v>
      </c>
      <c r="H387" s="8">
        <v>15.6</v>
      </c>
      <c r="I387" s="8" t="s">
        <v>72</v>
      </c>
    </row>
    <row r="388" spans="1:9" ht="12.5">
      <c r="A388" s="20">
        <v>3323220</v>
      </c>
      <c r="B388" s="9" t="s">
        <v>225</v>
      </c>
      <c r="C388" s="9" t="s">
        <v>226</v>
      </c>
      <c r="D388" s="9" t="s">
        <v>3205</v>
      </c>
      <c r="E388" s="9" t="s">
        <v>3206</v>
      </c>
      <c r="F388" s="9" t="s">
        <v>2352</v>
      </c>
      <c r="G388" s="8">
        <v>4.8099999999999996</v>
      </c>
      <c r="H388" s="8">
        <v>22.2</v>
      </c>
      <c r="I388" s="8" t="s">
        <v>17</v>
      </c>
    </row>
    <row r="389" spans="1:9" ht="12.5">
      <c r="A389" s="20">
        <v>674764</v>
      </c>
      <c r="B389" s="9" t="s">
        <v>225</v>
      </c>
      <c r="C389" s="9" t="s">
        <v>235</v>
      </c>
      <c r="D389" s="9" t="s">
        <v>3207</v>
      </c>
      <c r="E389" s="9" t="s">
        <v>3208</v>
      </c>
      <c r="F389" s="9" t="s">
        <v>3209</v>
      </c>
      <c r="G389" s="8">
        <v>4.47</v>
      </c>
      <c r="H389" s="8">
        <v>13.6</v>
      </c>
      <c r="I389" s="8" t="s">
        <v>21</v>
      </c>
    </row>
    <row r="390" spans="1:9" ht="12.5">
      <c r="A390" s="20">
        <v>1327322</v>
      </c>
      <c r="B390" s="9" t="s">
        <v>225</v>
      </c>
      <c r="C390" s="9" t="s">
        <v>235</v>
      </c>
      <c r="D390" s="9" t="s">
        <v>3210</v>
      </c>
      <c r="E390" s="9" t="s">
        <v>3211</v>
      </c>
      <c r="F390" s="9" t="s">
        <v>2557</v>
      </c>
      <c r="G390" s="8">
        <v>4.47</v>
      </c>
      <c r="H390" s="8">
        <v>20.5</v>
      </c>
      <c r="I390" s="8" t="s">
        <v>21</v>
      </c>
    </row>
    <row r="391" spans="1:9" ht="12.5">
      <c r="A391" s="20">
        <v>1562180</v>
      </c>
      <c r="B391" s="9" t="s">
        <v>225</v>
      </c>
      <c r="C391" s="9" t="s">
        <v>229</v>
      </c>
      <c r="D391" s="9" t="s">
        <v>3212</v>
      </c>
      <c r="E391" s="9" t="s">
        <v>3213</v>
      </c>
      <c r="F391" s="9" t="s">
        <v>3214</v>
      </c>
      <c r="G391" s="8">
        <v>4.74</v>
      </c>
      <c r="H391" s="8">
        <v>5.2</v>
      </c>
      <c r="I391" s="8" t="s">
        <v>21</v>
      </c>
    </row>
    <row r="392" spans="1:9" ht="12.5">
      <c r="A392" s="20">
        <v>1800638</v>
      </c>
      <c r="B392" s="9" t="s">
        <v>225</v>
      </c>
      <c r="C392" s="9" t="s">
        <v>235</v>
      </c>
      <c r="D392" s="9" t="s">
        <v>3215</v>
      </c>
      <c r="E392" s="9" t="s">
        <v>3216</v>
      </c>
      <c r="F392" s="9" t="s">
        <v>2862</v>
      </c>
      <c r="G392" s="8">
        <v>4.5</v>
      </c>
      <c r="H392" s="8">
        <v>6.8</v>
      </c>
      <c r="I392" s="8" t="s">
        <v>21</v>
      </c>
    </row>
    <row r="393" spans="1:9" ht="12.5">
      <c r="A393" s="20">
        <v>1834624</v>
      </c>
      <c r="B393" s="9" t="s">
        <v>225</v>
      </c>
      <c r="C393" s="9" t="s">
        <v>288</v>
      </c>
      <c r="D393" s="9" t="s">
        <v>3217</v>
      </c>
      <c r="E393" s="9" t="s">
        <v>3218</v>
      </c>
      <c r="F393" s="9" t="s">
        <v>3219</v>
      </c>
      <c r="G393" s="8">
        <v>4.7</v>
      </c>
      <c r="H393" s="8">
        <v>11.6</v>
      </c>
      <c r="I393" s="8" t="s">
        <v>17</v>
      </c>
    </row>
    <row r="394" spans="1:9" ht="12.5">
      <c r="A394" s="20">
        <v>1842114</v>
      </c>
      <c r="B394" s="9" t="s">
        <v>225</v>
      </c>
      <c r="C394" s="9" t="s">
        <v>278</v>
      </c>
      <c r="D394" s="9" t="s">
        <v>3220</v>
      </c>
      <c r="E394" s="9" t="s">
        <v>3221</v>
      </c>
      <c r="F394" s="9" t="s">
        <v>3222</v>
      </c>
      <c r="G394" s="8">
        <v>4.54</v>
      </c>
      <c r="H394" s="8">
        <v>23.8</v>
      </c>
      <c r="I394" s="8" t="s">
        <v>21</v>
      </c>
    </row>
    <row r="395" spans="1:9" ht="12.5">
      <c r="A395" s="20">
        <v>1849492</v>
      </c>
      <c r="B395" s="9" t="s">
        <v>225</v>
      </c>
      <c r="C395" s="9" t="s">
        <v>235</v>
      </c>
      <c r="D395" s="9" t="s">
        <v>3223</v>
      </c>
      <c r="E395" s="9" t="s">
        <v>3224</v>
      </c>
      <c r="F395" s="9" t="s">
        <v>2581</v>
      </c>
      <c r="G395" s="8">
        <v>4.49</v>
      </c>
      <c r="H395" s="8">
        <v>3.4</v>
      </c>
      <c r="I395" s="8" t="s">
        <v>72</v>
      </c>
    </row>
    <row r="396" spans="1:9" ht="12.5">
      <c r="A396" s="20">
        <v>1857560</v>
      </c>
      <c r="B396" s="9" t="s">
        <v>225</v>
      </c>
      <c r="C396" s="9" t="s">
        <v>226</v>
      </c>
      <c r="D396" s="9" t="s">
        <v>3225</v>
      </c>
      <c r="E396" s="9" t="s">
        <v>3226</v>
      </c>
      <c r="F396" s="9" t="s">
        <v>3227</v>
      </c>
      <c r="G396" s="8">
        <v>3.71</v>
      </c>
      <c r="H396" s="8">
        <v>12.5</v>
      </c>
      <c r="I396" s="8" t="s">
        <v>21</v>
      </c>
    </row>
    <row r="397" spans="1:9" ht="12.5">
      <c r="A397" s="20">
        <v>2214802</v>
      </c>
      <c r="B397" s="9" t="s">
        <v>225</v>
      </c>
      <c r="C397" s="9" t="s">
        <v>235</v>
      </c>
      <c r="D397" s="9" t="s">
        <v>3228</v>
      </c>
      <c r="E397" s="9" t="s">
        <v>3229</v>
      </c>
      <c r="F397" s="9" t="s">
        <v>3230</v>
      </c>
      <c r="G397" s="8">
        <v>4.8099999999999996</v>
      </c>
      <c r="H397" s="8">
        <v>11.1</v>
      </c>
      <c r="I397" s="8" t="s">
        <v>21</v>
      </c>
    </row>
    <row r="398" spans="1:9" ht="12.5">
      <c r="A398" s="20">
        <v>2495076</v>
      </c>
      <c r="B398" s="9" t="s">
        <v>225</v>
      </c>
      <c r="C398" s="9" t="s">
        <v>235</v>
      </c>
      <c r="D398" s="9" t="s">
        <v>3231</v>
      </c>
      <c r="E398" s="9" t="s">
        <v>3232</v>
      </c>
      <c r="F398" s="9" t="s">
        <v>3233</v>
      </c>
      <c r="G398" s="8">
        <v>4.47</v>
      </c>
      <c r="H398" s="8">
        <v>6.5</v>
      </c>
      <c r="I398" s="8" t="s">
        <v>21</v>
      </c>
    </row>
    <row r="399" spans="1:9" ht="12.5">
      <c r="A399" s="20">
        <v>2560044</v>
      </c>
      <c r="B399" s="9" t="s">
        <v>225</v>
      </c>
      <c r="C399" s="9" t="s">
        <v>235</v>
      </c>
      <c r="D399" s="9" t="s">
        <v>3234</v>
      </c>
      <c r="E399" s="9" t="s">
        <v>3235</v>
      </c>
      <c r="F399" s="9" t="s">
        <v>3236</v>
      </c>
      <c r="G399" s="8">
        <v>4.5</v>
      </c>
      <c r="H399" s="8">
        <v>19.100000000000001</v>
      </c>
      <c r="I399" s="8" t="s">
        <v>72</v>
      </c>
    </row>
    <row r="400" spans="1:9" ht="12.5">
      <c r="A400" s="20">
        <v>2718700</v>
      </c>
      <c r="B400" s="9" t="s">
        <v>225</v>
      </c>
      <c r="C400" s="9" t="s">
        <v>288</v>
      </c>
      <c r="D400" s="9" t="s">
        <v>3237</v>
      </c>
      <c r="E400" s="9" t="s">
        <v>3238</v>
      </c>
      <c r="F400" s="9" t="s">
        <v>2339</v>
      </c>
      <c r="G400" s="8">
        <v>4.07</v>
      </c>
      <c r="H400" s="8">
        <v>15.1</v>
      </c>
      <c r="I400" s="8" t="s">
        <v>72</v>
      </c>
    </row>
    <row r="401" spans="1:9" ht="12.5">
      <c r="A401" s="20">
        <v>3437390</v>
      </c>
      <c r="B401" s="9" t="s">
        <v>225</v>
      </c>
      <c r="C401" s="9" t="s">
        <v>229</v>
      </c>
      <c r="D401" s="9" t="s">
        <v>3239</v>
      </c>
      <c r="E401" s="9" t="s">
        <v>3240</v>
      </c>
      <c r="F401" s="9" t="s">
        <v>2876</v>
      </c>
      <c r="G401" s="8">
        <v>4.5999999999999996</v>
      </c>
      <c r="H401" s="8">
        <v>17.600000000000001</v>
      </c>
      <c r="I401" s="8" t="s">
        <v>21</v>
      </c>
    </row>
    <row r="402" spans="1:9" ht="12.5">
      <c r="A402" s="20">
        <v>835234</v>
      </c>
      <c r="B402" s="9" t="s">
        <v>225</v>
      </c>
      <c r="C402" s="9" t="s">
        <v>235</v>
      </c>
      <c r="D402" s="9" t="s">
        <v>3241</v>
      </c>
      <c r="E402" s="9" t="s">
        <v>3241</v>
      </c>
      <c r="F402" s="9" t="s">
        <v>2859</v>
      </c>
      <c r="G402" s="8">
        <v>4.51</v>
      </c>
      <c r="H402" s="8">
        <v>53.8</v>
      </c>
      <c r="I402" s="8" t="s">
        <v>21</v>
      </c>
    </row>
    <row r="403" spans="1:9" ht="12.5">
      <c r="A403" s="20">
        <v>1349548</v>
      </c>
      <c r="B403" s="9" t="s">
        <v>225</v>
      </c>
      <c r="C403" s="9" t="s">
        <v>235</v>
      </c>
      <c r="D403" s="9" t="s">
        <v>3242</v>
      </c>
      <c r="E403" s="9" t="s">
        <v>3243</v>
      </c>
      <c r="F403" s="9" t="s">
        <v>3244</v>
      </c>
      <c r="G403" s="8">
        <v>4.5999999999999996</v>
      </c>
      <c r="H403" s="8">
        <v>24.8</v>
      </c>
      <c r="I403" s="8" t="s">
        <v>72</v>
      </c>
    </row>
    <row r="404" spans="1:9" ht="12.5">
      <c r="A404" s="20">
        <v>1364796</v>
      </c>
      <c r="B404" s="9" t="s">
        <v>225</v>
      </c>
      <c r="C404" s="9" t="s">
        <v>235</v>
      </c>
      <c r="D404" s="9" t="s">
        <v>3245</v>
      </c>
      <c r="E404" s="9" t="s">
        <v>3246</v>
      </c>
      <c r="F404" s="9" t="s">
        <v>3011</v>
      </c>
      <c r="G404" s="8">
        <v>4.25</v>
      </c>
      <c r="H404" s="8">
        <v>11.4</v>
      </c>
      <c r="I404" s="8" t="s">
        <v>72</v>
      </c>
    </row>
    <row r="405" spans="1:9" ht="12.5">
      <c r="A405" s="20">
        <v>1409148</v>
      </c>
      <c r="B405" s="9" t="s">
        <v>225</v>
      </c>
      <c r="C405" s="9" t="s">
        <v>235</v>
      </c>
      <c r="D405" s="9" t="s">
        <v>3247</v>
      </c>
      <c r="E405" s="9" t="s">
        <v>3248</v>
      </c>
      <c r="F405" s="9" t="s">
        <v>2447</v>
      </c>
      <c r="G405" s="8">
        <v>4.7300000000000004</v>
      </c>
      <c r="H405" s="8">
        <v>9.5</v>
      </c>
      <c r="I405" s="8" t="s">
        <v>17</v>
      </c>
    </row>
    <row r="406" spans="1:9" ht="12.5">
      <c r="A406" s="20">
        <v>1528396</v>
      </c>
      <c r="B406" s="9" t="s">
        <v>225</v>
      </c>
      <c r="C406" s="9" t="s">
        <v>235</v>
      </c>
      <c r="D406" s="9" t="s">
        <v>3249</v>
      </c>
      <c r="E406" s="9" t="s">
        <v>3250</v>
      </c>
      <c r="F406" s="9" t="s">
        <v>3019</v>
      </c>
      <c r="G406" s="8">
        <v>4.55</v>
      </c>
      <c r="H406" s="8">
        <v>7.2</v>
      </c>
      <c r="I406" s="8" t="s">
        <v>72</v>
      </c>
    </row>
    <row r="407" spans="1:9" ht="12.5">
      <c r="A407" s="20">
        <v>1563626</v>
      </c>
      <c r="B407" s="9" t="s">
        <v>225</v>
      </c>
      <c r="C407" s="9" t="s">
        <v>226</v>
      </c>
      <c r="D407" s="9" t="s">
        <v>3251</v>
      </c>
      <c r="E407" s="9" t="s">
        <v>3252</v>
      </c>
      <c r="F407" s="9" t="s">
        <v>3253</v>
      </c>
      <c r="G407" s="8">
        <v>4.6500000000000004</v>
      </c>
      <c r="H407" s="8">
        <v>12.5</v>
      </c>
      <c r="I407" s="8" t="s">
        <v>21</v>
      </c>
    </row>
    <row r="408" spans="1:9" ht="12.5">
      <c r="A408" s="20">
        <v>1629208</v>
      </c>
      <c r="B408" s="9" t="s">
        <v>225</v>
      </c>
      <c r="C408" s="9" t="s">
        <v>385</v>
      </c>
      <c r="D408" s="9" t="s">
        <v>3254</v>
      </c>
      <c r="E408" s="9" t="s">
        <v>3255</v>
      </c>
      <c r="F408" s="9" t="s">
        <v>2673</v>
      </c>
      <c r="G408" s="8">
        <v>4.43</v>
      </c>
      <c r="H408" s="8">
        <v>23.7</v>
      </c>
      <c r="I408" s="8" t="s">
        <v>72</v>
      </c>
    </row>
    <row r="409" spans="1:9" ht="12.5">
      <c r="A409" s="20">
        <v>1694752</v>
      </c>
      <c r="B409" s="9" t="s">
        <v>225</v>
      </c>
      <c r="C409" s="9" t="s">
        <v>235</v>
      </c>
      <c r="D409" s="9" t="s">
        <v>3256</v>
      </c>
      <c r="E409" s="9" t="s">
        <v>3257</v>
      </c>
      <c r="F409" s="9" t="s">
        <v>3244</v>
      </c>
      <c r="G409" s="8">
        <v>4.38</v>
      </c>
      <c r="H409" s="8">
        <v>11.2</v>
      </c>
      <c r="I409" s="8" t="s">
        <v>72</v>
      </c>
    </row>
    <row r="410" spans="1:9" ht="12.5">
      <c r="A410" s="20">
        <v>1835714</v>
      </c>
      <c r="B410" s="9" t="s">
        <v>225</v>
      </c>
      <c r="C410" s="9" t="s">
        <v>235</v>
      </c>
      <c r="D410" s="9" t="s">
        <v>3258</v>
      </c>
      <c r="E410" s="9" t="s">
        <v>3258</v>
      </c>
      <c r="F410" s="9" t="s">
        <v>2953</v>
      </c>
      <c r="G410" s="8">
        <v>4.6100000000000003</v>
      </c>
      <c r="H410" s="8">
        <v>9.5</v>
      </c>
      <c r="I410" s="8" t="s">
        <v>72</v>
      </c>
    </row>
    <row r="411" spans="1:9" ht="12.5">
      <c r="A411" s="20">
        <v>2397400</v>
      </c>
      <c r="B411" s="9" t="s">
        <v>225</v>
      </c>
      <c r="C411" s="9" t="s">
        <v>235</v>
      </c>
      <c r="D411" s="9" t="s">
        <v>3259</v>
      </c>
      <c r="E411" s="9" t="s">
        <v>3260</v>
      </c>
      <c r="F411" s="9" t="s">
        <v>2304</v>
      </c>
      <c r="G411" s="8">
        <v>4.79</v>
      </c>
      <c r="H411" s="8">
        <v>6.2</v>
      </c>
      <c r="I411" s="8" t="s">
        <v>72</v>
      </c>
    </row>
    <row r="412" spans="1:9" ht="12.5">
      <c r="A412" s="20">
        <v>2419696</v>
      </c>
      <c r="B412" s="9" t="s">
        <v>225</v>
      </c>
      <c r="C412" s="9" t="s">
        <v>235</v>
      </c>
      <c r="D412" s="9" t="s">
        <v>3261</v>
      </c>
      <c r="E412" s="9" t="s">
        <v>3262</v>
      </c>
      <c r="F412" s="9" t="s">
        <v>3236</v>
      </c>
      <c r="G412" s="8">
        <v>4.57</v>
      </c>
      <c r="H412" s="8">
        <v>6.9</v>
      </c>
      <c r="I412" s="8" t="s">
        <v>17</v>
      </c>
    </row>
    <row r="413" spans="1:9" ht="12.5">
      <c r="A413" s="20">
        <v>2743350</v>
      </c>
      <c r="B413" s="9" t="s">
        <v>225</v>
      </c>
      <c r="C413" s="9" t="s">
        <v>226</v>
      </c>
      <c r="D413" s="9" t="s">
        <v>3263</v>
      </c>
      <c r="E413" s="9" t="s">
        <v>3264</v>
      </c>
      <c r="F413" s="9" t="s">
        <v>2402</v>
      </c>
      <c r="G413" s="8">
        <v>4.84</v>
      </c>
      <c r="H413" s="8">
        <v>20.3</v>
      </c>
      <c r="I413" s="8" t="s">
        <v>21</v>
      </c>
    </row>
    <row r="414" spans="1:9" ht="12.5">
      <c r="A414" s="20">
        <v>3595460</v>
      </c>
      <c r="B414" s="9" t="s">
        <v>225</v>
      </c>
      <c r="C414" s="9" t="s">
        <v>235</v>
      </c>
      <c r="D414" s="9" t="s">
        <v>3265</v>
      </c>
      <c r="E414" s="9" t="s">
        <v>3266</v>
      </c>
      <c r="F414" s="9" t="s">
        <v>2557</v>
      </c>
      <c r="G414" s="8">
        <v>4.7699999999999996</v>
      </c>
      <c r="H414" s="8">
        <v>12</v>
      </c>
      <c r="I414" s="8" t="s">
        <v>21</v>
      </c>
    </row>
    <row r="415" spans="1:9" ht="12.5">
      <c r="A415" s="20">
        <v>3614806</v>
      </c>
      <c r="B415" s="9" t="s">
        <v>225</v>
      </c>
      <c r="C415" s="9" t="s">
        <v>226</v>
      </c>
      <c r="D415" s="9" t="s">
        <v>3267</v>
      </c>
      <c r="E415" s="9" t="s">
        <v>3268</v>
      </c>
      <c r="F415" s="9" t="s">
        <v>2694</v>
      </c>
      <c r="G415" s="8">
        <v>4.75</v>
      </c>
      <c r="H415" s="8">
        <v>4.0999999999999996</v>
      </c>
      <c r="I415" s="8" t="s">
        <v>21</v>
      </c>
    </row>
    <row r="416" spans="1:9" ht="12.5">
      <c r="A416" s="20">
        <v>411462</v>
      </c>
      <c r="B416" s="9" t="s">
        <v>225</v>
      </c>
      <c r="C416" s="9" t="s">
        <v>235</v>
      </c>
      <c r="D416" s="9" t="s">
        <v>3269</v>
      </c>
      <c r="E416" s="9" t="s">
        <v>3270</v>
      </c>
      <c r="F416" s="9" t="s">
        <v>2378</v>
      </c>
      <c r="G416" s="8">
        <v>4.62</v>
      </c>
      <c r="H416" s="8">
        <v>3.9</v>
      </c>
      <c r="I416" s="8" t="s">
        <v>21</v>
      </c>
    </row>
    <row r="417" spans="1:9" ht="12.5">
      <c r="A417" s="20">
        <v>804158</v>
      </c>
      <c r="B417" s="9" t="s">
        <v>225</v>
      </c>
      <c r="C417" s="9" t="s">
        <v>1338</v>
      </c>
      <c r="D417" s="9" t="s">
        <v>3271</v>
      </c>
      <c r="E417" s="9" t="s">
        <v>3272</v>
      </c>
      <c r="F417" s="9" t="s">
        <v>3273</v>
      </c>
      <c r="G417" s="8">
        <v>4.12</v>
      </c>
      <c r="H417" s="8">
        <v>8.1</v>
      </c>
      <c r="I417" s="8" t="s">
        <v>21</v>
      </c>
    </row>
    <row r="418" spans="1:9" ht="12.5">
      <c r="A418" s="20">
        <v>1170368</v>
      </c>
      <c r="B418" s="9" t="s">
        <v>225</v>
      </c>
      <c r="C418" s="9" t="s">
        <v>235</v>
      </c>
      <c r="D418" s="9" t="s">
        <v>3274</v>
      </c>
      <c r="E418" s="9" t="s">
        <v>3275</v>
      </c>
      <c r="F418" s="9" t="s">
        <v>3276</v>
      </c>
      <c r="G418" s="8">
        <v>4.75</v>
      </c>
      <c r="H418" s="8">
        <v>58.3</v>
      </c>
      <c r="I418" s="8" t="s">
        <v>21</v>
      </c>
    </row>
    <row r="419" spans="1:9" ht="12.5">
      <c r="A419" s="20">
        <v>1568672</v>
      </c>
      <c r="B419" s="9" t="s">
        <v>225</v>
      </c>
      <c r="C419" s="9" t="s">
        <v>235</v>
      </c>
      <c r="D419" s="9" t="s">
        <v>3277</v>
      </c>
      <c r="E419" s="9" t="s">
        <v>3277</v>
      </c>
      <c r="F419" s="9" t="s">
        <v>3019</v>
      </c>
      <c r="G419" s="8">
        <v>4.54</v>
      </c>
      <c r="H419" s="8">
        <v>18.100000000000001</v>
      </c>
      <c r="I419" s="8" t="s">
        <v>259</v>
      </c>
    </row>
    <row r="420" spans="1:9" ht="12.5">
      <c r="A420" s="20">
        <v>1831902</v>
      </c>
      <c r="B420" s="9" t="s">
        <v>225</v>
      </c>
      <c r="C420" s="9" t="s">
        <v>288</v>
      </c>
      <c r="D420" s="9" t="s">
        <v>3278</v>
      </c>
      <c r="E420" s="9" t="s">
        <v>3279</v>
      </c>
      <c r="F420" s="9" t="s">
        <v>3280</v>
      </c>
      <c r="G420" s="8">
        <v>4.5999999999999996</v>
      </c>
      <c r="H420" s="8">
        <v>4.3</v>
      </c>
      <c r="I420" s="8" t="s">
        <v>21</v>
      </c>
    </row>
    <row r="421" spans="1:9" ht="12.5">
      <c r="A421" s="20">
        <v>1922324</v>
      </c>
      <c r="B421" s="9" t="s">
        <v>225</v>
      </c>
      <c r="C421" s="9" t="s">
        <v>235</v>
      </c>
      <c r="D421" s="9" t="s">
        <v>3281</v>
      </c>
      <c r="E421" s="9" t="s">
        <v>3282</v>
      </c>
      <c r="F421" s="9" t="s">
        <v>2962</v>
      </c>
      <c r="G421" s="8">
        <v>4.82</v>
      </c>
      <c r="H421" s="8">
        <v>19.100000000000001</v>
      </c>
      <c r="I421" s="8" t="s">
        <v>21</v>
      </c>
    </row>
    <row r="422" spans="1:9" ht="12.5">
      <c r="A422" s="20">
        <v>2202518</v>
      </c>
      <c r="B422" s="9" t="s">
        <v>225</v>
      </c>
      <c r="C422" s="9" t="s">
        <v>1338</v>
      </c>
      <c r="D422" s="9" t="s">
        <v>3283</v>
      </c>
      <c r="E422" s="9" t="s">
        <v>3284</v>
      </c>
      <c r="F422" s="9" t="s">
        <v>2876</v>
      </c>
      <c r="G422" s="8">
        <v>4.47</v>
      </c>
      <c r="H422" s="8">
        <v>25.2</v>
      </c>
      <c r="I422" s="8" t="s">
        <v>21</v>
      </c>
    </row>
    <row r="423" spans="1:9" ht="12.5">
      <c r="A423" s="20">
        <v>2290305</v>
      </c>
      <c r="B423" s="9" t="s">
        <v>225</v>
      </c>
      <c r="C423" s="9" t="s">
        <v>235</v>
      </c>
      <c r="D423" s="9" t="s">
        <v>3285</v>
      </c>
      <c r="E423" s="9" t="s">
        <v>3286</v>
      </c>
      <c r="F423" s="9" t="s">
        <v>3022</v>
      </c>
      <c r="G423" s="8">
        <v>4.67</v>
      </c>
      <c r="H423" s="8">
        <v>7.3</v>
      </c>
      <c r="I423" s="8" t="s">
        <v>21</v>
      </c>
    </row>
    <row r="424" spans="1:9" ht="12.5">
      <c r="A424" s="20">
        <v>2299578</v>
      </c>
      <c r="B424" s="9" t="s">
        <v>225</v>
      </c>
      <c r="C424" s="9" t="s">
        <v>235</v>
      </c>
      <c r="D424" s="9" t="s">
        <v>3287</v>
      </c>
      <c r="E424" s="9" t="s">
        <v>3288</v>
      </c>
      <c r="F424" s="9" t="s">
        <v>3289</v>
      </c>
      <c r="G424" s="8">
        <v>4.57</v>
      </c>
      <c r="H424" s="8">
        <v>5.0999999999999996</v>
      </c>
      <c r="I424" s="8" t="s">
        <v>72</v>
      </c>
    </row>
    <row r="425" spans="1:9" ht="12.5">
      <c r="A425" s="20">
        <v>589550</v>
      </c>
      <c r="B425" s="9" t="s">
        <v>225</v>
      </c>
      <c r="C425" s="9" t="s">
        <v>226</v>
      </c>
      <c r="D425" s="9" t="s">
        <v>3290</v>
      </c>
      <c r="E425" s="9" t="s">
        <v>3291</v>
      </c>
      <c r="F425" s="9" t="s">
        <v>2974</v>
      </c>
      <c r="G425" s="8">
        <v>4.5</v>
      </c>
      <c r="H425" s="8">
        <v>6.4</v>
      </c>
      <c r="I425" s="8" t="s">
        <v>21</v>
      </c>
    </row>
    <row r="426" spans="1:9" ht="12.5">
      <c r="A426" s="20">
        <v>1051756</v>
      </c>
      <c r="B426" s="9" t="s">
        <v>225</v>
      </c>
      <c r="C426" s="9" t="s">
        <v>288</v>
      </c>
      <c r="D426" s="9" t="s">
        <v>3292</v>
      </c>
      <c r="E426" s="9" t="s">
        <v>3293</v>
      </c>
      <c r="F426" s="9" t="s">
        <v>2339</v>
      </c>
      <c r="G426" s="8">
        <v>4.53</v>
      </c>
      <c r="H426" s="8">
        <v>4</v>
      </c>
      <c r="I426" s="8" t="s">
        <v>17</v>
      </c>
    </row>
    <row r="427" spans="1:9" ht="12.5">
      <c r="A427" s="20">
        <v>1131438</v>
      </c>
      <c r="B427" s="9" t="s">
        <v>225</v>
      </c>
      <c r="C427" s="9" t="s">
        <v>235</v>
      </c>
      <c r="D427" s="9" t="s">
        <v>3294</v>
      </c>
      <c r="E427" s="9" t="s">
        <v>3295</v>
      </c>
      <c r="F427" s="9" t="s">
        <v>3296</v>
      </c>
      <c r="G427" s="8">
        <v>4.74</v>
      </c>
      <c r="H427" s="8">
        <v>9.1999999999999993</v>
      </c>
      <c r="I427" s="8" t="s">
        <v>21</v>
      </c>
    </row>
    <row r="428" spans="1:9" ht="12.5">
      <c r="A428" s="20">
        <v>1316330</v>
      </c>
      <c r="B428" s="9" t="s">
        <v>225</v>
      </c>
      <c r="C428" s="9" t="s">
        <v>278</v>
      </c>
      <c r="D428" s="9" t="s">
        <v>3297</v>
      </c>
      <c r="E428" s="9" t="s">
        <v>3298</v>
      </c>
      <c r="F428" s="9" t="s">
        <v>2792</v>
      </c>
      <c r="G428" s="8">
        <v>4.6900000000000004</v>
      </c>
      <c r="H428" s="8">
        <v>21.1</v>
      </c>
      <c r="I428" s="8" t="s">
        <v>21</v>
      </c>
    </row>
    <row r="429" spans="1:9" ht="12.5">
      <c r="A429" s="20">
        <v>1686176</v>
      </c>
      <c r="B429" s="9" t="s">
        <v>225</v>
      </c>
      <c r="C429" s="9" t="s">
        <v>226</v>
      </c>
      <c r="D429" s="9" t="s">
        <v>3299</v>
      </c>
      <c r="E429" s="9" t="s">
        <v>3300</v>
      </c>
      <c r="F429" s="9" t="s">
        <v>3301</v>
      </c>
      <c r="G429" s="8">
        <v>4.5199999999999996</v>
      </c>
      <c r="H429" s="8">
        <v>4.0999999999999996</v>
      </c>
      <c r="I429" s="8" t="s">
        <v>17</v>
      </c>
    </row>
    <row r="430" spans="1:9" ht="12.5">
      <c r="A430" s="20">
        <v>2618812</v>
      </c>
      <c r="B430" s="9" t="s">
        <v>225</v>
      </c>
      <c r="C430" s="9" t="s">
        <v>226</v>
      </c>
      <c r="D430" s="9" t="s">
        <v>3302</v>
      </c>
      <c r="E430" s="9" t="s">
        <v>3303</v>
      </c>
      <c r="F430" s="9" t="s">
        <v>3304</v>
      </c>
      <c r="G430" s="8">
        <v>4.46</v>
      </c>
      <c r="H430" s="8">
        <v>16.8</v>
      </c>
      <c r="I430" s="8" t="s">
        <v>72</v>
      </c>
    </row>
    <row r="431" spans="1:9" ht="12.5">
      <c r="A431" s="20">
        <v>3164978</v>
      </c>
      <c r="B431" s="9" t="s">
        <v>225</v>
      </c>
      <c r="C431" s="9" t="s">
        <v>288</v>
      </c>
      <c r="D431" s="9" t="s">
        <v>3305</v>
      </c>
      <c r="E431" s="9" t="s">
        <v>3306</v>
      </c>
      <c r="F431" s="9" t="s">
        <v>3307</v>
      </c>
      <c r="G431" s="8">
        <v>4.74</v>
      </c>
      <c r="H431" s="8">
        <v>32</v>
      </c>
      <c r="I431" s="8" t="s">
        <v>17</v>
      </c>
    </row>
    <row r="432" spans="1:9" ht="12.5">
      <c r="A432" s="20">
        <v>3456006</v>
      </c>
      <c r="B432" s="9" t="s">
        <v>225</v>
      </c>
      <c r="C432" s="9" t="s">
        <v>229</v>
      </c>
      <c r="D432" s="9" t="s">
        <v>3308</v>
      </c>
      <c r="E432" s="9" t="s">
        <v>3309</v>
      </c>
      <c r="F432" s="9" t="s">
        <v>2598</v>
      </c>
      <c r="G432" s="8">
        <v>4.71</v>
      </c>
      <c r="H432" s="8">
        <v>7.9</v>
      </c>
      <c r="I432" s="8" t="s">
        <v>21</v>
      </c>
    </row>
    <row r="433" spans="1:9" ht="12.5">
      <c r="A433" s="20">
        <v>1338262</v>
      </c>
      <c r="B433" s="9" t="s">
        <v>225</v>
      </c>
      <c r="C433" s="9" t="s">
        <v>235</v>
      </c>
      <c r="D433" s="9" t="s">
        <v>3310</v>
      </c>
      <c r="E433" s="9" t="s">
        <v>3311</v>
      </c>
      <c r="F433" s="9" t="s">
        <v>3296</v>
      </c>
      <c r="G433" s="8">
        <v>4.5599999999999996</v>
      </c>
      <c r="H433" s="8">
        <v>11</v>
      </c>
      <c r="I433" s="8" t="s">
        <v>21</v>
      </c>
    </row>
    <row r="434" spans="1:9" ht="12.5">
      <c r="A434" s="20">
        <v>1567748</v>
      </c>
      <c r="B434" s="9" t="s">
        <v>225</v>
      </c>
      <c r="C434" s="9" t="s">
        <v>288</v>
      </c>
      <c r="D434" s="9" t="s">
        <v>3312</v>
      </c>
      <c r="E434" s="9" t="s">
        <v>3313</v>
      </c>
      <c r="F434" s="9" t="s">
        <v>3314</v>
      </c>
      <c r="G434" s="8">
        <v>4.7</v>
      </c>
      <c r="H434" s="8">
        <v>14.3</v>
      </c>
      <c r="I434" s="8" t="s">
        <v>21</v>
      </c>
    </row>
    <row r="435" spans="1:9" ht="12.5">
      <c r="A435" s="20">
        <v>1692608</v>
      </c>
      <c r="B435" s="9" t="s">
        <v>225</v>
      </c>
      <c r="C435" s="9" t="s">
        <v>226</v>
      </c>
      <c r="D435" s="9" t="s">
        <v>3315</v>
      </c>
      <c r="E435" s="9" t="s">
        <v>3316</v>
      </c>
      <c r="F435" s="9" t="s">
        <v>3317</v>
      </c>
      <c r="G435" s="8">
        <v>4.53</v>
      </c>
      <c r="H435" s="8">
        <v>6.3</v>
      </c>
      <c r="I435" s="8" t="s">
        <v>17</v>
      </c>
    </row>
    <row r="436" spans="1:9" ht="12.5">
      <c r="A436" s="20">
        <v>1729696</v>
      </c>
      <c r="B436" s="9" t="s">
        <v>225</v>
      </c>
      <c r="C436" s="9" t="s">
        <v>278</v>
      </c>
      <c r="D436" s="9" t="s">
        <v>3318</v>
      </c>
      <c r="E436" s="9" t="s">
        <v>3319</v>
      </c>
      <c r="F436" s="9" t="s">
        <v>3320</v>
      </c>
      <c r="G436" s="8">
        <v>4.72</v>
      </c>
      <c r="H436" s="8">
        <v>8.1999999999999993</v>
      </c>
      <c r="I436" s="8" t="s">
        <v>72</v>
      </c>
    </row>
    <row r="437" spans="1:9" ht="12.5">
      <c r="A437" s="20">
        <v>1904942</v>
      </c>
      <c r="B437" s="9" t="s">
        <v>225</v>
      </c>
      <c r="C437" s="9" t="s">
        <v>278</v>
      </c>
      <c r="D437" s="9" t="s">
        <v>3321</v>
      </c>
      <c r="E437" s="9" t="s">
        <v>3322</v>
      </c>
      <c r="F437" s="9" t="s">
        <v>3320</v>
      </c>
      <c r="G437" s="8">
        <v>5</v>
      </c>
      <c r="H437" s="8">
        <v>16.5</v>
      </c>
      <c r="I437" s="8" t="s">
        <v>21</v>
      </c>
    </row>
    <row r="438" spans="1:9" ht="12.5">
      <c r="A438" s="20">
        <v>2002080</v>
      </c>
      <c r="B438" s="9" t="s">
        <v>225</v>
      </c>
      <c r="C438" s="9" t="s">
        <v>385</v>
      </c>
      <c r="D438" s="9" t="s">
        <v>3323</v>
      </c>
      <c r="E438" s="9" t="s">
        <v>3324</v>
      </c>
      <c r="F438" s="9" t="s">
        <v>2673</v>
      </c>
      <c r="G438" s="8">
        <v>4.71</v>
      </c>
      <c r="H438" s="8">
        <v>5.0999999999999996</v>
      </c>
      <c r="I438" s="8" t="s">
        <v>21</v>
      </c>
    </row>
    <row r="439" spans="1:9" ht="12.5">
      <c r="A439" s="20">
        <v>2098080</v>
      </c>
      <c r="B439" s="9" t="s">
        <v>225</v>
      </c>
      <c r="C439" s="9" t="s">
        <v>278</v>
      </c>
      <c r="D439" s="9" t="s">
        <v>3325</v>
      </c>
      <c r="E439" s="9" t="s">
        <v>3326</v>
      </c>
      <c r="F439" s="9" t="s">
        <v>3320</v>
      </c>
      <c r="G439" s="8">
        <v>4.3499999999999996</v>
      </c>
      <c r="H439" s="8">
        <v>6.7</v>
      </c>
      <c r="I439" s="8" t="s">
        <v>21</v>
      </c>
    </row>
    <row r="440" spans="1:9" ht="12.5">
      <c r="A440" s="20">
        <v>2426412</v>
      </c>
      <c r="B440" s="9" t="s">
        <v>225</v>
      </c>
      <c r="C440" s="9" t="s">
        <v>278</v>
      </c>
      <c r="D440" s="9" t="s">
        <v>3327</v>
      </c>
      <c r="E440" s="9" t="s">
        <v>3328</v>
      </c>
      <c r="F440" s="9" t="s">
        <v>3320</v>
      </c>
      <c r="G440" s="8">
        <v>4.9400000000000004</v>
      </c>
      <c r="H440" s="8">
        <v>14.4</v>
      </c>
      <c r="I440" s="8" t="s">
        <v>21</v>
      </c>
    </row>
    <row r="441" spans="1:9" ht="12.5">
      <c r="A441" s="20">
        <v>2641582</v>
      </c>
      <c r="B441" s="9" t="s">
        <v>225</v>
      </c>
      <c r="C441" s="9" t="s">
        <v>235</v>
      </c>
      <c r="D441" s="9" t="s">
        <v>3329</v>
      </c>
      <c r="E441" s="9" t="s">
        <v>3330</v>
      </c>
      <c r="F441" s="9" t="s">
        <v>3019</v>
      </c>
      <c r="G441" s="8">
        <v>4.71</v>
      </c>
      <c r="H441" s="8">
        <v>6.2</v>
      </c>
      <c r="I441" s="8" t="s">
        <v>17</v>
      </c>
    </row>
    <row r="442" spans="1:9" ht="12.5">
      <c r="A442" s="20">
        <v>2680130</v>
      </c>
      <c r="B442" s="9" t="s">
        <v>225</v>
      </c>
      <c r="C442" s="9" t="s">
        <v>288</v>
      </c>
      <c r="D442" s="9" t="s">
        <v>3331</v>
      </c>
      <c r="E442" s="9" t="s">
        <v>3332</v>
      </c>
      <c r="F442" s="9" t="s">
        <v>3236</v>
      </c>
      <c r="G442" s="8">
        <v>4.8499999999999996</v>
      </c>
      <c r="H442" s="8">
        <v>4.5</v>
      </c>
      <c r="I442" s="8" t="s">
        <v>17</v>
      </c>
    </row>
    <row r="443" spans="1:9" ht="12.5">
      <c r="A443" s="20">
        <v>2794778</v>
      </c>
      <c r="B443" s="9" t="s">
        <v>225</v>
      </c>
      <c r="C443" s="9" t="s">
        <v>288</v>
      </c>
      <c r="D443" s="9" t="s">
        <v>3333</v>
      </c>
      <c r="E443" s="9" t="s">
        <v>3334</v>
      </c>
      <c r="F443" s="9" t="s">
        <v>3307</v>
      </c>
      <c r="G443" s="8">
        <v>4.58</v>
      </c>
      <c r="H443" s="8">
        <v>10.1</v>
      </c>
      <c r="I443" s="8" t="s">
        <v>17</v>
      </c>
    </row>
    <row r="444" spans="1:9" ht="12.5">
      <c r="A444" s="20">
        <v>3245044</v>
      </c>
      <c r="B444" s="9" t="s">
        <v>225</v>
      </c>
      <c r="C444" s="9" t="s">
        <v>288</v>
      </c>
      <c r="D444" s="9" t="s">
        <v>3335</v>
      </c>
      <c r="E444" s="9" t="s">
        <v>3336</v>
      </c>
      <c r="F444" s="9" t="s">
        <v>3307</v>
      </c>
      <c r="G444" s="8">
        <v>4.57</v>
      </c>
      <c r="H444" s="8">
        <v>21.7</v>
      </c>
      <c r="I444" s="8" t="s">
        <v>21</v>
      </c>
    </row>
    <row r="445" spans="1:9" ht="12.5">
      <c r="A445" s="20">
        <v>1674658</v>
      </c>
      <c r="B445" s="9" t="s">
        <v>225</v>
      </c>
      <c r="C445" s="9" t="s">
        <v>288</v>
      </c>
      <c r="D445" s="9" t="s">
        <v>3337</v>
      </c>
      <c r="E445" s="9" t="s">
        <v>3338</v>
      </c>
      <c r="F445" s="9" t="s">
        <v>2371</v>
      </c>
      <c r="G445" s="8">
        <v>4.49</v>
      </c>
      <c r="H445" s="8">
        <v>4.4000000000000004</v>
      </c>
      <c r="I445" s="8" t="s">
        <v>17</v>
      </c>
    </row>
    <row r="446" spans="1:9" ht="12.5">
      <c r="A446" s="20">
        <v>1680432</v>
      </c>
      <c r="B446" s="9" t="s">
        <v>225</v>
      </c>
      <c r="C446" s="9" t="s">
        <v>226</v>
      </c>
      <c r="D446" s="9" t="s">
        <v>3339</v>
      </c>
      <c r="E446" s="9" t="s">
        <v>3340</v>
      </c>
      <c r="F446" s="9" t="s">
        <v>3341</v>
      </c>
      <c r="G446" s="8">
        <v>4.58</v>
      </c>
      <c r="H446" s="8">
        <v>4.2</v>
      </c>
      <c r="I446" s="8" t="s">
        <v>17</v>
      </c>
    </row>
    <row r="447" spans="1:9" ht="12.5">
      <c r="A447" s="20">
        <v>2981572</v>
      </c>
      <c r="B447" s="9" t="s">
        <v>225</v>
      </c>
      <c r="C447" s="9" t="s">
        <v>278</v>
      </c>
      <c r="D447" s="9" t="s">
        <v>3342</v>
      </c>
      <c r="E447" s="9" t="s">
        <v>3343</v>
      </c>
      <c r="F447" s="9" t="s">
        <v>3344</v>
      </c>
      <c r="G447" s="8">
        <v>4.83</v>
      </c>
      <c r="H447" s="8">
        <v>17.5</v>
      </c>
      <c r="I447" s="8" t="s">
        <v>21</v>
      </c>
    </row>
    <row r="448" spans="1:9" ht="12.5">
      <c r="A448" s="20">
        <v>3077740</v>
      </c>
      <c r="B448" s="9" t="s">
        <v>225</v>
      </c>
      <c r="C448" s="9" t="s">
        <v>278</v>
      </c>
      <c r="D448" s="9" t="s">
        <v>3345</v>
      </c>
      <c r="E448" s="9" t="s">
        <v>3346</v>
      </c>
      <c r="F448" s="9" t="s">
        <v>3347</v>
      </c>
      <c r="G448" s="8">
        <v>4.54</v>
      </c>
      <c r="H448" s="8">
        <v>6.1</v>
      </c>
      <c r="I448" s="8" t="s">
        <v>21</v>
      </c>
    </row>
    <row r="449" spans="1:9" ht="12.5">
      <c r="A449" s="20">
        <v>2278463</v>
      </c>
      <c r="B449" s="9" t="s">
        <v>557</v>
      </c>
      <c r="C449" s="9" t="s">
        <v>558</v>
      </c>
      <c r="D449" s="9" t="s">
        <v>3348</v>
      </c>
      <c r="E449" s="9" t="s">
        <v>3349</v>
      </c>
      <c r="F449" s="9" t="s">
        <v>3350</v>
      </c>
      <c r="G449" s="8">
        <v>4.72</v>
      </c>
      <c r="H449" s="8">
        <v>2</v>
      </c>
      <c r="I449" s="8" t="s">
        <v>17</v>
      </c>
    </row>
    <row r="450" spans="1:9" ht="12.5">
      <c r="A450" s="20">
        <v>1692552</v>
      </c>
      <c r="B450" s="9" t="s">
        <v>557</v>
      </c>
      <c r="C450" s="9" t="s">
        <v>558</v>
      </c>
      <c r="D450" s="9" t="s">
        <v>3351</v>
      </c>
      <c r="E450" s="9" t="s">
        <v>3352</v>
      </c>
      <c r="F450" s="9" t="s">
        <v>3353</v>
      </c>
      <c r="G450" s="8">
        <v>4.6900000000000004</v>
      </c>
      <c r="H450" s="8">
        <v>4.3</v>
      </c>
      <c r="I450" s="8" t="s">
        <v>17</v>
      </c>
    </row>
    <row r="451" spans="1:9" ht="12.5">
      <c r="A451" s="20">
        <v>2268370</v>
      </c>
      <c r="B451" s="9" t="s">
        <v>557</v>
      </c>
      <c r="C451" s="9" t="s">
        <v>565</v>
      </c>
      <c r="D451" s="9" t="s">
        <v>3354</v>
      </c>
      <c r="E451" s="9" t="s">
        <v>3355</v>
      </c>
      <c r="F451" s="9" t="s">
        <v>1156</v>
      </c>
      <c r="G451" s="8">
        <v>4.6399999999999997</v>
      </c>
      <c r="H451" s="8">
        <v>7.1</v>
      </c>
      <c r="I451" s="8" t="s">
        <v>21</v>
      </c>
    </row>
    <row r="452" spans="1:9" ht="12.5">
      <c r="A452" s="20">
        <v>720994</v>
      </c>
      <c r="B452" s="9" t="s">
        <v>557</v>
      </c>
      <c r="C452" s="9" t="s">
        <v>561</v>
      </c>
      <c r="D452" s="9" t="s">
        <v>3356</v>
      </c>
      <c r="E452" s="9" t="s">
        <v>3357</v>
      </c>
      <c r="F452" s="9" t="s">
        <v>3358</v>
      </c>
      <c r="G452" s="8">
        <v>4.54</v>
      </c>
      <c r="H452" s="8">
        <v>5.7</v>
      </c>
      <c r="I452" s="8" t="s">
        <v>21</v>
      </c>
    </row>
    <row r="453" spans="1:9" ht="12.5">
      <c r="A453" s="20">
        <v>968664</v>
      </c>
      <c r="B453" s="9" t="s">
        <v>557</v>
      </c>
      <c r="C453" s="9" t="s">
        <v>558</v>
      </c>
      <c r="D453" s="9" t="s">
        <v>3359</v>
      </c>
      <c r="E453" s="9" t="s">
        <v>3360</v>
      </c>
      <c r="F453" s="9" t="s">
        <v>3361</v>
      </c>
      <c r="G453" s="8">
        <v>4.5199999999999996</v>
      </c>
      <c r="H453" s="8">
        <v>2.2999999999999998</v>
      </c>
      <c r="I453" s="8" t="s">
        <v>17</v>
      </c>
    </row>
    <row r="454" spans="1:9" ht="12.5">
      <c r="A454" s="20">
        <v>1180960</v>
      </c>
      <c r="B454" s="9" t="s">
        <v>557</v>
      </c>
      <c r="C454" s="9" t="s">
        <v>1565</v>
      </c>
      <c r="D454" s="9" t="s">
        <v>3362</v>
      </c>
      <c r="E454" s="9" t="s">
        <v>3363</v>
      </c>
      <c r="F454" s="9" t="s">
        <v>3364</v>
      </c>
      <c r="G454" s="8">
        <v>4.72</v>
      </c>
      <c r="H454" s="8">
        <v>3.3</v>
      </c>
      <c r="I454" s="8" t="s">
        <v>21</v>
      </c>
    </row>
    <row r="455" spans="1:9" ht="12.5">
      <c r="A455" s="20">
        <v>2499074</v>
      </c>
      <c r="B455" s="9" t="s">
        <v>557</v>
      </c>
      <c r="C455" s="9" t="s">
        <v>558</v>
      </c>
      <c r="D455" s="9" t="s">
        <v>3365</v>
      </c>
      <c r="E455" s="9" t="s">
        <v>3366</v>
      </c>
      <c r="F455" s="9" t="s">
        <v>3367</v>
      </c>
      <c r="G455" s="8">
        <v>4.4000000000000004</v>
      </c>
      <c r="H455" s="8">
        <v>2.9</v>
      </c>
      <c r="I455" s="8" t="s">
        <v>21</v>
      </c>
    </row>
    <row r="456" spans="1:9" ht="12.5">
      <c r="A456" s="20">
        <v>2219896</v>
      </c>
      <c r="B456" s="9" t="s">
        <v>557</v>
      </c>
      <c r="C456" s="9" t="s">
        <v>1565</v>
      </c>
      <c r="D456" s="9" t="s">
        <v>3368</v>
      </c>
      <c r="E456" s="9" t="s">
        <v>3369</v>
      </c>
      <c r="F456" s="9" t="s">
        <v>3370</v>
      </c>
      <c r="G456" s="8">
        <v>4.42</v>
      </c>
      <c r="H456" s="8">
        <v>5.5</v>
      </c>
      <c r="I456" s="8" t="s">
        <v>17</v>
      </c>
    </row>
    <row r="457" spans="1:9" ht="12.5">
      <c r="A457" s="20">
        <v>2237864</v>
      </c>
      <c r="B457" s="9" t="s">
        <v>557</v>
      </c>
      <c r="C457" s="9" t="s">
        <v>558</v>
      </c>
      <c r="D457" s="9" t="s">
        <v>3371</v>
      </c>
      <c r="E457" s="9" t="s">
        <v>3372</v>
      </c>
      <c r="F457" s="9" t="s">
        <v>3373</v>
      </c>
      <c r="G457" s="8">
        <v>4.6399999999999997</v>
      </c>
      <c r="H457" s="8">
        <v>12.6</v>
      </c>
      <c r="I457" s="8" t="s">
        <v>21</v>
      </c>
    </row>
    <row r="458" spans="1:9" ht="12.5">
      <c r="A458" s="20">
        <v>2527928</v>
      </c>
      <c r="B458" s="9" t="s">
        <v>557</v>
      </c>
      <c r="C458" s="9" t="s">
        <v>558</v>
      </c>
      <c r="D458" s="9" t="s">
        <v>3374</v>
      </c>
      <c r="E458" s="9" t="s">
        <v>3375</v>
      </c>
      <c r="F458" s="9" t="s">
        <v>3376</v>
      </c>
      <c r="G458" s="8">
        <v>4.62</v>
      </c>
      <c r="H458" s="8">
        <v>84.8</v>
      </c>
      <c r="I458" s="8" t="s">
        <v>17</v>
      </c>
    </row>
    <row r="459" spans="1:9" ht="12.5">
      <c r="A459" s="20">
        <v>2515482</v>
      </c>
      <c r="B459" s="9" t="s">
        <v>557</v>
      </c>
      <c r="C459" s="9" t="s">
        <v>558</v>
      </c>
      <c r="D459" s="9" t="s">
        <v>3377</v>
      </c>
      <c r="E459" s="9" t="s">
        <v>3378</v>
      </c>
      <c r="F459" s="9" t="s">
        <v>2368</v>
      </c>
      <c r="G459" s="8">
        <v>4.6900000000000004</v>
      </c>
      <c r="H459" s="8">
        <v>5.7</v>
      </c>
      <c r="I459" s="8" t="s">
        <v>72</v>
      </c>
    </row>
    <row r="460" spans="1:9" ht="12.5">
      <c r="A460" s="20">
        <v>3251576</v>
      </c>
      <c r="B460" s="9" t="s">
        <v>557</v>
      </c>
      <c r="C460" s="9" t="s">
        <v>558</v>
      </c>
      <c r="D460" s="9" t="s">
        <v>3379</v>
      </c>
      <c r="E460" s="9" t="s">
        <v>3380</v>
      </c>
      <c r="F460" s="9" t="s">
        <v>3381</v>
      </c>
      <c r="G460" s="8">
        <v>4.9000000000000004</v>
      </c>
      <c r="H460" s="8">
        <v>6.7</v>
      </c>
      <c r="I460" s="8" t="s">
        <v>72</v>
      </c>
    </row>
    <row r="461" spans="1:9" ht="12.5">
      <c r="A461" s="20">
        <v>3103958</v>
      </c>
      <c r="B461" s="9" t="s">
        <v>557</v>
      </c>
      <c r="C461" s="9" t="s">
        <v>558</v>
      </c>
      <c r="D461" s="9" t="s">
        <v>3382</v>
      </c>
      <c r="E461" s="9" t="s">
        <v>3383</v>
      </c>
      <c r="F461" s="9" t="s">
        <v>3381</v>
      </c>
      <c r="G461" s="8">
        <v>4.83</v>
      </c>
      <c r="H461" s="8">
        <v>5.0999999999999996</v>
      </c>
      <c r="I461" s="8" t="s">
        <v>72</v>
      </c>
    </row>
    <row r="462" spans="1:9" ht="12.5">
      <c r="A462" s="20">
        <v>2324418</v>
      </c>
      <c r="B462" s="9" t="s">
        <v>557</v>
      </c>
      <c r="C462" s="9" t="s">
        <v>558</v>
      </c>
      <c r="D462" s="9" t="s">
        <v>3384</v>
      </c>
      <c r="E462" s="9" t="s">
        <v>3385</v>
      </c>
      <c r="F462" s="9" t="s">
        <v>3386</v>
      </c>
      <c r="G462" s="8">
        <v>4.3600000000000003</v>
      </c>
      <c r="H462" s="8">
        <v>12.8</v>
      </c>
      <c r="I462" s="8" t="s">
        <v>21</v>
      </c>
    </row>
    <row r="463" spans="1:9" ht="12.5">
      <c r="A463" s="20">
        <v>2766594</v>
      </c>
      <c r="B463" s="9" t="s">
        <v>557</v>
      </c>
      <c r="C463" s="9" t="s">
        <v>558</v>
      </c>
      <c r="D463" s="9" t="s">
        <v>3387</v>
      </c>
      <c r="E463" s="9" t="s">
        <v>3388</v>
      </c>
      <c r="F463" s="9" t="s">
        <v>3389</v>
      </c>
      <c r="G463" s="8">
        <v>4.6100000000000003</v>
      </c>
      <c r="H463" s="8">
        <v>23</v>
      </c>
      <c r="I463" s="8" t="s">
        <v>21</v>
      </c>
    </row>
    <row r="464" spans="1:9" ht="12.5">
      <c r="A464" s="20">
        <v>2503286</v>
      </c>
      <c r="B464" s="9" t="s">
        <v>557</v>
      </c>
      <c r="C464" s="9" t="s">
        <v>558</v>
      </c>
      <c r="D464" s="9" t="s">
        <v>3390</v>
      </c>
      <c r="E464" s="9" t="s">
        <v>3391</v>
      </c>
      <c r="F464" s="9" t="s">
        <v>2368</v>
      </c>
      <c r="G464" s="8">
        <v>4.6399999999999997</v>
      </c>
      <c r="H464" s="8">
        <v>5.6</v>
      </c>
      <c r="I464" s="8" t="s">
        <v>21</v>
      </c>
    </row>
    <row r="465" spans="1:9" ht="12.5">
      <c r="A465" s="20">
        <v>3164674</v>
      </c>
      <c r="B465" s="9" t="s">
        <v>557</v>
      </c>
      <c r="C465" s="9" t="s">
        <v>565</v>
      </c>
      <c r="D465" s="9" t="s">
        <v>3392</v>
      </c>
      <c r="E465" s="9" t="s">
        <v>3393</v>
      </c>
      <c r="F465" s="9" t="s">
        <v>3381</v>
      </c>
      <c r="G465" s="8">
        <v>4.9000000000000004</v>
      </c>
      <c r="H465" s="8">
        <v>4.4000000000000004</v>
      </c>
      <c r="I465" s="8" t="s">
        <v>17</v>
      </c>
    </row>
    <row r="466" spans="1:9" ht="12.5">
      <c r="A466" s="20">
        <v>3207347</v>
      </c>
      <c r="B466" s="9" t="s">
        <v>557</v>
      </c>
      <c r="C466" s="9" t="s">
        <v>558</v>
      </c>
      <c r="D466" s="9" t="s">
        <v>3394</v>
      </c>
      <c r="E466" s="9" t="s">
        <v>3395</v>
      </c>
      <c r="F466" s="9" t="s">
        <v>3381</v>
      </c>
      <c r="G466" s="8">
        <v>4.78</v>
      </c>
      <c r="H466" s="8">
        <v>3.9</v>
      </c>
      <c r="I466" s="8" t="s">
        <v>17</v>
      </c>
    </row>
    <row r="467" spans="1:9" ht="12.5">
      <c r="A467" s="20">
        <v>3112648</v>
      </c>
      <c r="B467" s="9" t="s">
        <v>557</v>
      </c>
      <c r="C467" s="9" t="s">
        <v>565</v>
      </c>
      <c r="D467" s="9" t="s">
        <v>3396</v>
      </c>
      <c r="E467" s="9" t="s">
        <v>3397</v>
      </c>
      <c r="F467" s="9" t="s">
        <v>3381</v>
      </c>
      <c r="G467" s="8">
        <v>4.7300000000000004</v>
      </c>
      <c r="H467" s="8">
        <v>3.1</v>
      </c>
      <c r="I467" s="8" t="s">
        <v>72</v>
      </c>
    </row>
    <row r="468" spans="1:9" ht="12.5">
      <c r="A468" s="20">
        <v>3228787</v>
      </c>
      <c r="B468" s="9" t="s">
        <v>557</v>
      </c>
      <c r="C468" s="9" t="s">
        <v>558</v>
      </c>
      <c r="D468" s="9" t="s">
        <v>3398</v>
      </c>
      <c r="E468" s="9" t="s">
        <v>3399</v>
      </c>
      <c r="F468" s="9" t="s">
        <v>3381</v>
      </c>
      <c r="G468" s="8">
        <v>4.5599999999999996</v>
      </c>
      <c r="H468" s="8">
        <v>3.5</v>
      </c>
      <c r="I468" s="8" t="s">
        <v>17</v>
      </c>
    </row>
    <row r="469" spans="1:9" ht="12.5">
      <c r="A469" s="20">
        <v>2545905</v>
      </c>
      <c r="B469" s="9" t="s">
        <v>557</v>
      </c>
      <c r="C469" s="9" t="s">
        <v>558</v>
      </c>
      <c r="D469" s="9" t="s">
        <v>3400</v>
      </c>
      <c r="E469" s="9" t="s">
        <v>3401</v>
      </c>
      <c r="F469" s="9" t="s">
        <v>3402</v>
      </c>
      <c r="G469" s="8">
        <v>4.42</v>
      </c>
      <c r="H469" s="8">
        <v>19.399999999999999</v>
      </c>
      <c r="I469" s="8" t="s">
        <v>72</v>
      </c>
    </row>
    <row r="470" spans="1:9" ht="12.5">
      <c r="A470" s="20">
        <v>3199324</v>
      </c>
      <c r="B470" s="9" t="s">
        <v>557</v>
      </c>
      <c r="C470" s="9" t="s">
        <v>565</v>
      </c>
      <c r="D470" s="9" t="s">
        <v>3403</v>
      </c>
      <c r="E470" s="9" t="s">
        <v>3404</v>
      </c>
      <c r="F470" s="9" t="s">
        <v>3405</v>
      </c>
      <c r="G470" s="8">
        <v>4.8099999999999996</v>
      </c>
      <c r="H470" s="8">
        <v>4.5999999999999996</v>
      </c>
      <c r="I470" s="8" t="s">
        <v>21</v>
      </c>
    </row>
    <row r="471" spans="1:9" ht="12.5">
      <c r="A471" s="20">
        <v>3291220</v>
      </c>
      <c r="B471" s="9" t="s">
        <v>557</v>
      </c>
      <c r="C471" s="9" t="s">
        <v>565</v>
      </c>
      <c r="D471" s="9" t="s">
        <v>3406</v>
      </c>
      <c r="E471" s="9" t="s">
        <v>3407</v>
      </c>
      <c r="F471" s="9" t="s">
        <v>3381</v>
      </c>
      <c r="G471" s="8">
        <v>4.6900000000000004</v>
      </c>
      <c r="H471" s="8">
        <v>5.2</v>
      </c>
      <c r="I471" s="8" t="s">
        <v>72</v>
      </c>
    </row>
    <row r="472" spans="1:9" ht="12.5">
      <c r="A472" s="20">
        <v>1982932</v>
      </c>
      <c r="B472" s="9" t="s">
        <v>557</v>
      </c>
      <c r="C472" s="9" t="s">
        <v>1565</v>
      </c>
      <c r="D472" s="9" t="s">
        <v>3408</v>
      </c>
      <c r="E472" s="9" t="s">
        <v>3409</v>
      </c>
      <c r="F472" s="9" t="s">
        <v>3410</v>
      </c>
      <c r="G472" s="8">
        <v>4.6900000000000004</v>
      </c>
      <c r="H472" s="8">
        <v>1.1000000000000001</v>
      </c>
      <c r="I472" s="8" t="s">
        <v>17</v>
      </c>
    </row>
    <row r="473" spans="1:9" ht="12.5">
      <c r="A473" s="20">
        <v>3615068</v>
      </c>
      <c r="B473" s="9" t="s">
        <v>557</v>
      </c>
      <c r="C473" s="9" t="s">
        <v>565</v>
      </c>
      <c r="D473" s="9" t="s">
        <v>3411</v>
      </c>
      <c r="E473" s="9" t="s">
        <v>3412</v>
      </c>
      <c r="F473" s="9" t="s">
        <v>2352</v>
      </c>
      <c r="G473" s="8">
        <v>4.63</v>
      </c>
      <c r="H473" s="8">
        <v>20.2</v>
      </c>
      <c r="I473" s="8" t="s">
        <v>21</v>
      </c>
    </row>
    <row r="474" spans="1:9" ht="12.5">
      <c r="A474" s="20">
        <v>3122800</v>
      </c>
      <c r="B474" s="9" t="s">
        <v>557</v>
      </c>
      <c r="C474" s="9" t="s">
        <v>561</v>
      </c>
      <c r="D474" s="9" t="s">
        <v>3413</v>
      </c>
      <c r="E474" s="9" t="s">
        <v>3414</v>
      </c>
      <c r="F474" s="9" t="s">
        <v>3415</v>
      </c>
      <c r="G474" s="8">
        <v>4.5</v>
      </c>
      <c r="H474" s="8">
        <v>8.4</v>
      </c>
      <c r="I474" s="8" t="s">
        <v>21</v>
      </c>
    </row>
    <row r="475" spans="1:9" ht="12.5">
      <c r="A475" s="20">
        <v>3148664</v>
      </c>
      <c r="B475" s="9" t="s">
        <v>557</v>
      </c>
      <c r="C475" s="9" t="s">
        <v>565</v>
      </c>
      <c r="D475" s="9" t="s">
        <v>3416</v>
      </c>
      <c r="E475" s="9" t="s">
        <v>3417</v>
      </c>
      <c r="F475" s="9" t="s">
        <v>3418</v>
      </c>
      <c r="G475" s="8">
        <v>4.78</v>
      </c>
      <c r="H475" s="8">
        <v>14.3</v>
      </c>
      <c r="I475" s="8" t="s">
        <v>21</v>
      </c>
    </row>
    <row r="476" spans="1:9" ht="12.5">
      <c r="A476" s="20">
        <v>3401170</v>
      </c>
      <c r="B476" s="9" t="s">
        <v>557</v>
      </c>
      <c r="C476" s="9" t="s">
        <v>558</v>
      </c>
      <c r="D476" s="9" t="s">
        <v>3419</v>
      </c>
      <c r="E476" s="9" t="s">
        <v>3420</v>
      </c>
      <c r="F476" s="9" t="s">
        <v>2368</v>
      </c>
      <c r="G476" s="8">
        <v>4.91</v>
      </c>
      <c r="H476" s="8">
        <v>10.4</v>
      </c>
      <c r="I476" s="8" t="s">
        <v>72</v>
      </c>
    </row>
    <row r="477" spans="1:9" ht="12.5">
      <c r="A477" s="20">
        <v>1585344</v>
      </c>
      <c r="B477" s="9" t="s">
        <v>557</v>
      </c>
      <c r="C477" s="9" t="s">
        <v>561</v>
      </c>
      <c r="D477" s="9" t="s">
        <v>3421</v>
      </c>
      <c r="E477" s="9" t="s">
        <v>3422</v>
      </c>
      <c r="F477" s="9" t="s">
        <v>3423</v>
      </c>
      <c r="G477" s="8">
        <v>4.6100000000000003</v>
      </c>
      <c r="H477" s="8">
        <v>5</v>
      </c>
      <c r="I477" s="8" t="s">
        <v>17</v>
      </c>
    </row>
    <row r="478" spans="1:9" ht="12.5">
      <c r="A478" s="20">
        <v>2805523</v>
      </c>
      <c r="B478" s="9" t="s">
        <v>557</v>
      </c>
      <c r="C478" s="9" t="s">
        <v>561</v>
      </c>
      <c r="D478" s="9" t="s">
        <v>3424</v>
      </c>
      <c r="E478" s="9" t="s">
        <v>3425</v>
      </c>
      <c r="F478" s="9" t="s">
        <v>3426</v>
      </c>
      <c r="G478" s="8">
        <v>4.49</v>
      </c>
      <c r="H478" s="8">
        <v>5.9</v>
      </c>
      <c r="I478" s="8" t="s">
        <v>21</v>
      </c>
    </row>
    <row r="479" spans="1:9" ht="12.5">
      <c r="A479" s="20">
        <v>3540466</v>
      </c>
      <c r="B479" s="9" t="s">
        <v>557</v>
      </c>
      <c r="C479" s="9" t="s">
        <v>558</v>
      </c>
      <c r="D479" s="9" t="s">
        <v>3427</v>
      </c>
      <c r="E479" s="9" t="s">
        <v>3428</v>
      </c>
      <c r="F479" s="9" t="s">
        <v>2368</v>
      </c>
      <c r="G479" s="8">
        <v>4.66</v>
      </c>
      <c r="H479" s="8">
        <v>8.4</v>
      </c>
      <c r="I479" s="8" t="s">
        <v>259</v>
      </c>
    </row>
    <row r="480" spans="1:9" ht="12.5">
      <c r="A480" s="20">
        <v>2641150</v>
      </c>
      <c r="B480" s="9" t="s">
        <v>557</v>
      </c>
      <c r="C480" s="9" t="s">
        <v>1565</v>
      </c>
      <c r="D480" s="9" t="s">
        <v>3429</v>
      </c>
      <c r="E480" s="9" t="s">
        <v>3430</v>
      </c>
      <c r="F480" s="9" t="s">
        <v>3431</v>
      </c>
      <c r="G480" s="8">
        <v>4.78</v>
      </c>
      <c r="H480" s="8">
        <v>32.5</v>
      </c>
      <c r="I480" s="8" t="s">
        <v>21</v>
      </c>
    </row>
    <row r="481" spans="1:9" ht="12.5">
      <c r="A481" s="20">
        <v>2657400</v>
      </c>
      <c r="B481" s="9" t="s">
        <v>557</v>
      </c>
      <c r="C481" s="9" t="s">
        <v>1565</v>
      </c>
      <c r="D481" s="9" t="s">
        <v>3432</v>
      </c>
      <c r="E481" s="9" t="s">
        <v>3433</v>
      </c>
      <c r="F481" s="9" t="s">
        <v>3434</v>
      </c>
      <c r="G481" s="8">
        <v>4.57</v>
      </c>
      <c r="H481" s="8">
        <v>6.2</v>
      </c>
      <c r="I481" s="8" t="s">
        <v>21</v>
      </c>
    </row>
    <row r="482" spans="1:9" ht="12.5">
      <c r="A482" s="20">
        <v>2269618</v>
      </c>
      <c r="B482" s="9" t="s">
        <v>597</v>
      </c>
      <c r="C482" s="9" t="s">
        <v>601</v>
      </c>
      <c r="D482" s="9" t="s">
        <v>3435</v>
      </c>
      <c r="E482" s="9" t="s">
        <v>3436</v>
      </c>
      <c r="F482" s="9" t="s">
        <v>2313</v>
      </c>
      <c r="G482" s="8">
        <v>4.68</v>
      </c>
      <c r="H482" s="8">
        <v>3.2</v>
      </c>
      <c r="I482" s="8" t="s">
        <v>17</v>
      </c>
    </row>
    <row r="483" spans="1:9" ht="12.5">
      <c r="A483" s="20">
        <v>2306930</v>
      </c>
      <c r="B483" s="9" t="s">
        <v>597</v>
      </c>
      <c r="C483" s="9" t="s">
        <v>601</v>
      </c>
      <c r="D483" s="9" t="s">
        <v>3437</v>
      </c>
      <c r="E483" s="9" t="s">
        <v>3438</v>
      </c>
      <c r="F483" s="9" t="s">
        <v>2313</v>
      </c>
      <c r="G483" s="8">
        <v>4.68</v>
      </c>
      <c r="H483" s="8">
        <v>26.3</v>
      </c>
      <c r="I483" s="8" t="s">
        <v>17</v>
      </c>
    </row>
    <row r="484" spans="1:9" ht="12.5">
      <c r="A484" s="20">
        <v>2514206</v>
      </c>
      <c r="B484" s="9" t="s">
        <v>597</v>
      </c>
      <c r="C484" s="9" t="s">
        <v>601</v>
      </c>
      <c r="D484" s="9" t="s">
        <v>3439</v>
      </c>
      <c r="E484" s="9" t="s">
        <v>3439</v>
      </c>
      <c r="F484" s="9" t="s">
        <v>2304</v>
      </c>
      <c r="G484" s="8">
        <v>4.75</v>
      </c>
      <c r="H484" s="8">
        <v>10.3</v>
      </c>
      <c r="I484" s="8" t="s">
        <v>72</v>
      </c>
    </row>
    <row r="485" spans="1:9" ht="12.5">
      <c r="A485" s="20">
        <v>1981144</v>
      </c>
      <c r="B485" s="9" t="s">
        <v>597</v>
      </c>
      <c r="C485" s="9" t="s">
        <v>601</v>
      </c>
      <c r="D485" s="9" t="s">
        <v>3440</v>
      </c>
      <c r="E485" s="9" t="s">
        <v>3440</v>
      </c>
      <c r="F485" s="9" t="s">
        <v>3441</v>
      </c>
      <c r="G485" s="8">
        <v>4.3099999999999996</v>
      </c>
      <c r="H485" s="11"/>
      <c r="I485" s="8" t="s">
        <v>72</v>
      </c>
    </row>
    <row r="486" spans="1:9" ht="12.5">
      <c r="A486" s="20">
        <v>2397560</v>
      </c>
      <c r="B486" s="9" t="s">
        <v>597</v>
      </c>
      <c r="C486" s="9" t="s">
        <v>601</v>
      </c>
      <c r="D486" s="9" t="s">
        <v>3442</v>
      </c>
      <c r="E486" s="9" t="s">
        <v>3443</v>
      </c>
      <c r="F486" s="9" t="s">
        <v>3444</v>
      </c>
      <c r="G486" s="8">
        <v>4.6100000000000003</v>
      </c>
      <c r="H486" s="8">
        <v>22.8</v>
      </c>
      <c r="I486" s="8" t="s">
        <v>21</v>
      </c>
    </row>
    <row r="487" spans="1:9" ht="12.5">
      <c r="A487" s="20">
        <v>2440708</v>
      </c>
      <c r="B487" s="9" t="s">
        <v>597</v>
      </c>
      <c r="C487" s="9" t="s">
        <v>601</v>
      </c>
      <c r="D487" s="9" t="s">
        <v>3445</v>
      </c>
      <c r="E487" s="9" t="s">
        <v>3446</v>
      </c>
      <c r="F487" s="9" t="s">
        <v>2313</v>
      </c>
      <c r="G487" s="8">
        <v>4.6399999999999997</v>
      </c>
      <c r="H487" s="8">
        <v>21.7</v>
      </c>
      <c r="I487" s="8" t="s">
        <v>17</v>
      </c>
    </row>
    <row r="488" spans="1:9" ht="12.5">
      <c r="A488" s="20">
        <v>1733380</v>
      </c>
      <c r="B488" s="9" t="s">
        <v>597</v>
      </c>
      <c r="C488" s="9" t="s">
        <v>604</v>
      </c>
      <c r="D488" s="9" t="s">
        <v>3447</v>
      </c>
      <c r="E488" s="9" t="s">
        <v>3448</v>
      </c>
      <c r="F488" s="9" t="s">
        <v>3449</v>
      </c>
      <c r="G488" s="8">
        <v>4.6900000000000004</v>
      </c>
      <c r="H488" s="8">
        <v>10.5</v>
      </c>
      <c r="I488" s="8" t="s">
        <v>21</v>
      </c>
    </row>
    <row r="489" spans="1:9" ht="12.5">
      <c r="A489" s="20">
        <v>2675786</v>
      </c>
      <c r="B489" s="9" t="s">
        <v>597</v>
      </c>
      <c r="C489" s="9" t="s">
        <v>601</v>
      </c>
      <c r="D489" s="9" t="s">
        <v>3450</v>
      </c>
      <c r="E489" s="9" t="s">
        <v>3451</v>
      </c>
      <c r="F489" s="9" t="s">
        <v>2313</v>
      </c>
      <c r="G489" s="8">
        <v>4.67</v>
      </c>
      <c r="H489" s="8">
        <v>16.2</v>
      </c>
      <c r="I489" s="8" t="s">
        <v>17</v>
      </c>
    </row>
    <row r="490" spans="1:9" ht="12.5">
      <c r="A490" s="20">
        <v>742220</v>
      </c>
      <c r="B490" s="9" t="s">
        <v>597</v>
      </c>
      <c r="C490" s="9" t="s">
        <v>598</v>
      </c>
      <c r="D490" s="9" t="s">
        <v>3452</v>
      </c>
      <c r="E490" s="9" t="s">
        <v>3453</v>
      </c>
      <c r="F490" s="9" t="s">
        <v>3454</v>
      </c>
      <c r="G490" s="8">
        <v>4.5999999999999996</v>
      </c>
      <c r="H490" s="8">
        <v>25.4</v>
      </c>
      <c r="I490" s="8" t="s">
        <v>72</v>
      </c>
    </row>
    <row r="491" spans="1:9" ht="12.5">
      <c r="A491" s="20">
        <v>907618</v>
      </c>
      <c r="B491" s="9" t="s">
        <v>597</v>
      </c>
      <c r="C491" s="9" t="s">
        <v>598</v>
      </c>
      <c r="D491" s="9" t="s">
        <v>3455</v>
      </c>
      <c r="E491" s="9" t="s">
        <v>3456</v>
      </c>
      <c r="F491" s="9" t="s">
        <v>3457</v>
      </c>
      <c r="G491" s="8">
        <v>4.72</v>
      </c>
      <c r="H491" s="8">
        <v>19.3</v>
      </c>
      <c r="I491" s="8" t="s">
        <v>17</v>
      </c>
    </row>
    <row r="492" spans="1:9" ht="12.5">
      <c r="A492" s="20">
        <v>2471240</v>
      </c>
      <c r="B492" s="9" t="s">
        <v>597</v>
      </c>
      <c r="C492" s="9" t="s">
        <v>601</v>
      </c>
      <c r="D492" s="9" t="s">
        <v>3458</v>
      </c>
      <c r="E492" s="9" t="s">
        <v>3459</v>
      </c>
      <c r="F492" s="9" t="s">
        <v>2313</v>
      </c>
      <c r="G492" s="8">
        <v>4.83</v>
      </c>
      <c r="H492" s="8">
        <v>0.7</v>
      </c>
      <c r="I492" s="8" t="s">
        <v>17</v>
      </c>
    </row>
    <row r="493" spans="1:9" ht="12.5">
      <c r="A493" s="20">
        <v>1115290</v>
      </c>
      <c r="B493" s="9" t="s">
        <v>597</v>
      </c>
      <c r="C493" s="9" t="s">
        <v>601</v>
      </c>
      <c r="D493" s="9" t="s">
        <v>3460</v>
      </c>
      <c r="E493" s="9" t="s">
        <v>3461</v>
      </c>
      <c r="F493" s="9" t="s">
        <v>3462</v>
      </c>
      <c r="G493" s="8">
        <v>4.8</v>
      </c>
      <c r="H493" s="8">
        <v>35.799999999999997</v>
      </c>
      <c r="I493" s="8" t="s">
        <v>21</v>
      </c>
    </row>
    <row r="494" spans="1:9" ht="12.5">
      <c r="A494" s="20">
        <v>1726448</v>
      </c>
      <c r="B494" s="9" t="s">
        <v>597</v>
      </c>
      <c r="C494" s="9" t="s">
        <v>604</v>
      </c>
      <c r="D494" s="9" t="s">
        <v>3463</v>
      </c>
      <c r="E494" s="9" t="s">
        <v>3464</v>
      </c>
      <c r="F494" s="9" t="s">
        <v>3465</v>
      </c>
      <c r="G494" s="8">
        <v>4.38</v>
      </c>
      <c r="H494" s="8">
        <v>4.2</v>
      </c>
      <c r="I494" s="8" t="s">
        <v>17</v>
      </c>
    </row>
    <row r="495" spans="1:9" ht="12.5">
      <c r="A495" s="20">
        <v>873388</v>
      </c>
      <c r="B495" s="9" t="s">
        <v>597</v>
      </c>
      <c r="C495" s="9" t="s">
        <v>601</v>
      </c>
      <c r="D495" s="9" t="s">
        <v>3466</v>
      </c>
      <c r="E495" s="9" t="s">
        <v>3467</v>
      </c>
      <c r="F495" s="9" t="s">
        <v>2313</v>
      </c>
      <c r="G495" s="8">
        <v>4.68</v>
      </c>
      <c r="H495" s="8">
        <v>63.3</v>
      </c>
      <c r="I495" s="8" t="s">
        <v>17</v>
      </c>
    </row>
    <row r="496" spans="1:9" ht="12.5">
      <c r="A496" s="20">
        <v>1938036</v>
      </c>
      <c r="B496" s="9" t="s">
        <v>597</v>
      </c>
      <c r="C496" s="9" t="s">
        <v>604</v>
      </c>
      <c r="D496" s="9" t="s">
        <v>3468</v>
      </c>
      <c r="E496" s="9" t="s">
        <v>3469</v>
      </c>
      <c r="F496" s="9" t="s">
        <v>3470</v>
      </c>
      <c r="G496" s="8">
        <v>4.78</v>
      </c>
      <c r="H496" s="8">
        <v>4.9000000000000004</v>
      </c>
      <c r="I496" s="8" t="s">
        <v>21</v>
      </c>
    </row>
    <row r="497" spans="1:9" ht="12.5">
      <c r="A497" s="20">
        <v>2208238</v>
      </c>
      <c r="B497" s="9" t="s">
        <v>597</v>
      </c>
      <c r="C497" s="9" t="s">
        <v>604</v>
      </c>
      <c r="D497" s="9" t="s">
        <v>3471</v>
      </c>
      <c r="E497" s="9" t="s">
        <v>3471</v>
      </c>
      <c r="F497" s="9" t="s">
        <v>3472</v>
      </c>
      <c r="G497" s="8">
        <v>4.62</v>
      </c>
      <c r="H497" s="8">
        <v>12.3</v>
      </c>
      <c r="I497" s="8" t="s">
        <v>17</v>
      </c>
    </row>
    <row r="498" spans="1:9" ht="12.5">
      <c r="A498" s="20">
        <v>1309058</v>
      </c>
      <c r="B498" s="9" t="s">
        <v>597</v>
      </c>
      <c r="C498" s="9" t="s">
        <v>604</v>
      </c>
      <c r="D498" s="9" t="s">
        <v>3473</v>
      </c>
      <c r="E498" s="9" t="s">
        <v>3474</v>
      </c>
      <c r="F498" s="9" t="s">
        <v>3475</v>
      </c>
      <c r="G498" s="8">
        <v>4.74</v>
      </c>
      <c r="H498" s="8">
        <v>9.1999999999999993</v>
      </c>
      <c r="I498" s="8" t="s">
        <v>21</v>
      </c>
    </row>
    <row r="499" spans="1:9" ht="12.5">
      <c r="A499" s="20">
        <v>1406044</v>
      </c>
      <c r="B499" s="9" t="s">
        <v>597</v>
      </c>
      <c r="C499" s="9" t="s">
        <v>604</v>
      </c>
      <c r="D499" s="9" t="s">
        <v>3476</v>
      </c>
      <c r="E499" s="9" t="s">
        <v>3477</v>
      </c>
      <c r="F499" s="9" t="s">
        <v>3475</v>
      </c>
      <c r="G499" s="8">
        <v>4.6900000000000004</v>
      </c>
      <c r="H499" s="8">
        <v>8.3000000000000007</v>
      </c>
      <c r="I499" s="8" t="s">
        <v>21</v>
      </c>
    </row>
    <row r="500" spans="1:9" ht="12.5">
      <c r="A500" s="20">
        <v>1046092</v>
      </c>
      <c r="B500" s="9" t="s">
        <v>597</v>
      </c>
      <c r="C500" s="9" t="s">
        <v>649</v>
      </c>
      <c r="D500" s="9" t="s">
        <v>3478</v>
      </c>
      <c r="E500" s="9" t="s">
        <v>3478</v>
      </c>
      <c r="F500" s="9" t="s">
        <v>2339</v>
      </c>
      <c r="G500" s="8">
        <v>4.6900000000000004</v>
      </c>
      <c r="H500" s="8">
        <v>10.5</v>
      </c>
      <c r="I500" s="8" t="s">
        <v>17</v>
      </c>
    </row>
    <row r="501" spans="1:9" ht="12.5">
      <c r="A501" s="20">
        <v>1617560</v>
      </c>
      <c r="B501" s="9" t="s">
        <v>597</v>
      </c>
      <c r="C501" s="9" t="s">
        <v>598</v>
      </c>
      <c r="D501" s="9" t="s">
        <v>3479</v>
      </c>
      <c r="E501" s="9" t="s">
        <v>3480</v>
      </c>
      <c r="F501" s="9" t="s">
        <v>3481</v>
      </c>
      <c r="G501" s="8">
        <v>4.68</v>
      </c>
      <c r="H501" s="8">
        <v>9</v>
      </c>
      <c r="I501" s="8" t="s">
        <v>17</v>
      </c>
    </row>
    <row r="502" spans="1:9" ht="12.5">
      <c r="A502" s="20">
        <v>1964340</v>
      </c>
      <c r="B502" s="9" t="s">
        <v>597</v>
      </c>
      <c r="C502" s="9" t="s">
        <v>598</v>
      </c>
      <c r="D502" s="9" t="s">
        <v>3482</v>
      </c>
      <c r="E502" s="9" t="s">
        <v>3483</v>
      </c>
      <c r="F502" s="9" t="s">
        <v>3484</v>
      </c>
      <c r="G502" s="8">
        <v>4.6399999999999997</v>
      </c>
      <c r="H502" s="8">
        <v>8.1</v>
      </c>
      <c r="I502" s="8" t="s">
        <v>21</v>
      </c>
    </row>
    <row r="503" spans="1:9" ht="12.5">
      <c r="A503" s="20">
        <v>1141844</v>
      </c>
      <c r="B503" s="9" t="s">
        <v>597</v>
      </c>
      <c r="C503" s="9" t="s">
        <v>598</v>
      </c>
      <c r="D503" s="9" t="s">
        <v>3485</v>
      </c>
      <c r="E503" s="9" t="s">
        <v>3485</v>
      </c>
      <c r="F503" s="9" t="s">
        <v>3457</v>
      </c>
      <c r="G503" s="8">
        <v>4.71</v>
      </c>
      <c r="H503" s="8">
        <v>23.5</v>
      </c>
      <c r="I503" s="8" t="s">
        <v>72</v>
      </c>
    </row>
    <row r="504" spans="1:9" ht="12.5">
      <c r="A504" s="20">
        <v>1286330</v>
      </c>
      <c r="B504" s="9" t="s">
        <v>597</v>
      </c>
      <c r="C504" s="9" t="s">
        <v>604</v>
      </c>
      <c r="D504" s="9" t="s">
        <v>3486</v>
      </c>
      <c r="E504" s="9" t="s">
        <v>3486</v>
      </c>
      <c r="F504" s="9" t="s">
        <v>3472</v>
      </c>
      <c r="G504" s="8">
        <v>4.6500000000000004</v>
      </c>
      <c r="H504" s="8">
        <v>4.9000000000000004</v>
      </c>
      <c r="I504" s="8" t="s">
        <v>17</v>
      </c>
    </row>
    <row r="505" spans="1:9" ht="12.5">
      <c r="A505" s="20">
        <v>2609628</v>
      </c>
      <c r="B505" s="9" t="s">
        <v>597</v>
      </c>
      <c r="C505" s="9" t="s">
        <v>601</v>
      </c>
      <c r="D505" s="9" t="s">
        <v>3487</v>
      </c>
      <c r="E505" s="9" t="s">
        <v>3488</v>
      </c>
      <c r="F505" s="9" t="s">
        <v>2313</v>
      </c>
      <c r="G505" s="8">
        <v>4.8</v>
      </c>
      <c r="H505" s="8">
        <v>14</v>
      </c>
      <c r="I505" s="8" t="s">
        <v>72</v>
      </c>
    </row>
    <row r="506" spans="1:9" ht="12.5">
      <c r="A506" s="20">
        <v>1769704</v>
      </c>
      <c r="B506" s="9" t="s">
        <v>597</v>
      </c>
      <c r="C506" s="9" t="s">
        <v>598</v>
      </c>
      <c r="D506" s="9" t="s">
        <v>3489</v>
      </c>
      <c r="E506" s="9" t="s">
        <v>3490</v>
      </c>
      <c r="F506" s="9" t="s">
        <v>3491</v>
      </c>
      <c r="G506" s="8">
        <v>3.64</v>
      </c>
      <c r="H506" s="8">
        <v>1.3</v>
      </c>
      <c r="I506" s="8" t="s">
        <v>21</v>
      </c>
    </row>
    <row r="507" spans="1:9" ht="12.5">
      <c r="A507" s="20">
        <v>2349752</v>
      </c>
      <c r="B507" s="9" t="s">
        <v>597</v>
      </c>
      <c r="C507" s="9" t="s">
        <v>598</v>
      </c>
      <c r="D507" s="9" t="s">
        <v>3492</v>
      </c>
      <c r="E507" s="9" t="s">
        <v>3493</v>
      </c>
      <c r="F507" s="9" t="s">
        <v>3494</v>
      </c>
      <c r="G507" s="8">
        <v>4.55</v>
      </c>
      <c r="H507" s="8">
        <v>2.8</v>
      </c>
      <c r="I507" s="8" t="s">
        <v>17</v>
      </c>
    </row>
    <row r="508" spans="1:9" ht="12.5">
      <c r="A508" s="20">
        <v>288620</v>
      </c>
      <c r="B508" s="9" t="s">
        <v>597</v>
      </c>
      <c r="C508" s="9" t="s">
        <v>598</v>
      </c>
      <c r="D508" s="9" t="s">
        <v>3495</v>
      </c>
      <c r="E508" s="9" t="s">
        <v>3496</v>
      </c>
      <c r="F508" s="9" t="s">
        <v>3497</v>
      </c>
      <c r="G508" s="8">
        <v>4.41</v>
      </c>
      <c r="H508" s="8">
        <v>11.8</v>
      </c>
      <c r="I508" s="8" t="s">
        <v>21</v>
      </c>
    </row>
    <row r="509" spans="1:9" ht="12.5">
      <c r="A509" s="20">
        <v>2947090</v>
      </c>
      <c r="B509" s="9" t="s">
        <v>597</v>
      </c>
      <c r="C509" s="9" t="s">
        <v>601</v>
      </c>
      <c r="D509" s="9" t="s">
        <v>3498</v>
      </c>
      <c r="E509" s="9" t="s">
        <v>3499</v>
      </c>
      <c r="F509" s="9" t="s">
        <v>2313</v>
      </c>
      <c r="G509" s="8">
        <v>4.7</v>
      </c>
      <c r="H509" s="8">
        <v>10.4</v>
      </c>
      <c r="I509" s="8" t="s">
        <v>17</v>
      </c>
    </row>
    <row r="510" spans="1:9" ht="12.5">
      <c r="A510" s="20">
        <v>1095516</v>
      </c>
      <c r="B510" s="9" t="s">
        <v>597</v>
      </c>
      <c r="C510" s="9" t="s">
        <v>649</v>
      </c>
      <c r="D510" s="9" t="s">
        <v>3500</v>
      </c>
      <c r="E510" s="9" t="s">
        <v>3501</v>
      </c>
      <c r="F510" s="9" t="s">
        <v>2339</v>
      </c>
      <c r="G510" s="8">
        <v>4.68</v>
      </c>
      <c r="H510" s="8">
        <v>10.9</v>
      </c>
      <c r="I510" s="8" t="s">
        <v>17</v>
      </c>
    </row>
    <row r="511" spans="1:9" ht="12.5">
      <c r="A511" s="20">
        <v>1277136</v>
      </c>
      <c r="B511" s="9" t="s">
        <v>597</v>
      </c>
      <c r="C511" s="9" t="s">
        <v>604</v>
      </c>
      <c r="D511" s="9" t="s">
        <v>3502</v>
      </c>
      <c r="E511" s="9" t="s">
        <v>3503</v>
      </c>
      <c r="F511" s="9" t="s">
        <v>3219</v>
      </c>
      <c r="G511" s="8">
        <v>4.6100000000000003</v>
      </c>
      <c r="H511" s="8">
        <v>19.8</v>
      </c>
      <c r="I511" s="8" t="s">
        <v>21</v>
      </c>
    </row>
    <row r="512" spans="1:9" ht="12.5">
      <c r="A512" s="20">
        <v>1491172</v>
      </c>
      <c r="B512" s="9" t="s">
        <v>597</v>
      </c>
      <c r="C512" s="9" t="s">
        <v>598</v>
      </c>
      <c r="D512" s="9" t="s">
        <v>3504</v>
      </c>
      <c r="E512" s="9" t="s">
        <v>3504</v>
      </c>
      <c r="F512" s="9" t="s">
        <v>3465</v>
      </c>
      <c r="G512" s="8">
        <v>4.51</v>
      </c>
      <c r="H512" s="8">
        <v>5.4</v>
      </c>
      <c r="I512" s="8" t="s">
        <v>72</v>
      </c>
    </row>
    <row r="513" spans="1:9" ht="12.5">
      <c r="A513" s="20">
        <v>1606472</v>
      </c>
      <c r="B513" s="9" t="s">
        <v>597</v>
      </c>
      <c r="C513" s="9" t="s">
        <v>598</v>
      </c>
      <c r="D513" s="9" t="s">
        <v>3505</v>
      </c>
      <c r="E513" s="9" t="s">
        <v>3506</v>
      </c>
      <c r="F513" s="9" t="s">
        <v>3507</v>
      </c>
      <c r="G513" s="8">
        <v>4.24</v>
      </c>
      <c r="H513" s="8">
        <v>3.5</v>
      </c>
      <c r="I513" s="8" t="s">
        <v>72</v>
      </c>
    </row>
    <row r="514" spans="1:9" ht="12.5">
      <c r="A514" s="20">
        <v>2389072</v>
      </c>
      <c r="B514" s="9" t="s">
        <v>597</v>
      </c>
      <c r="C514" s="9" t="s">
        <v>604</v>
      </c>
      <c r="D514" s="9" t="s">
        <v>3508</v>
      </c>
      <c r="E514" s="9" t="s">
        <v>3509</v>
      </c>
      <c r="F514" s="9" t="s">
        <v>3472</v>
      </c>
      <c r="G514" s="8">
        <v>4.7300000000000004</v>
      </c>
      <c r="H514" s="8">
        <v>6.2</v>
      </c>
      <c r="I514" s="8" t="s">
        <v>17</v>
      </c>
    </row>
    <row r="515" spans="1:9" ht="12.5">
      <c r="A515" s="20">
        <v>2321158</v>
      </c>
      <c r="B515" s="9" t="s">
        <v>597</v>
      </c>
      <c r="C515" s="9" t="s">
        <v>598</v>
      </c>
      <c r="D515" s="9" t="s">
        <v>3510</v>
      </c>
      <c r="E515" s="9" t="s">
        <v>3511</v>
      </c>
      <c r="F515" s="9" t="s">
        <v>3512</v>
      </c>
      <c r="G515" s="8">
        <v>4.4000000000000004</v>
      </c>
      <c r="H515" s="8">
        <v>7.6</v>
      </c>
      <c r="I515" s="8" t="s">
        <v>17</v>
      </c>
    </row>
    <row r="516" spans="1:9" ht="12.5">
      <c r="A516" s="20">
        <v>1059508</v>
      </c>
      <c r="B516" s="9" t="s">
        <v>597</v>
      </c>
      <c r="C516" s="9" t="s">
        <v>598</v>
      </c>
      <c r="D516" s="9" t="s">
        <v>3513</v>
      </c>
      <c r="E516" s="9" t="s">
        <v>3514</v>
      </c>
      <c r="F516" s="9" t="s">
        <v>3484</v>
      </c>
      <c r="G516" s="8">
        <v>4.6900000000000004</v>
      </c>
      <c r="H516" s="8">
        <v>5.2</v>
      </c>
      <c r="I516" s="8" t="s">
        <v>21</v>
      </c>
    </row>
    <row r="517" spans="1:9" ht="12.5">
      <c r="A517" s="20">
        <v>2556332</v>
      </c>
      <c r="B517" s="9" t="s">
        <v>597</v>
      </c>
      <c r="C517" s="9" t="s">
        <v>604</v>
      </c>
      <c r="D517" s="9" t="s">
        <v>3515</v>
      </c>
      <c r="E517" s="9" t="s">
        <v>3516</v>
      </c>
      <c r="F517" s="9" t="s">
        <v>2598</v>
      </c>
      <c r="G517" s="8">
        <v>4.7699999999999996</v>
      </c>
      <c r="H517" s="8">
        <v>7.3</v>
      </c>
      <c r="I517" s="8" t="s">
        <v>21</v>
      </c>
    </row>
    <row r="518" spans="1:9" ht="12.5">
      <c r="A518" s="20">
        <v>3257332</v>
      </c>
      <c r="B518" s="9" t="s">
        <v>597</v>
      </c>
      <c r="C518" s="9" t="s">
        <v>1636</v>
      </c>
      <c r="D518" s="9" t="s">
        <v>3517</v>
      </c>
      <c r="E518" s="9" t="s">
        <v>3518</v>
      </c>
      <c r="F518" s="9" t="s">
        <v>3519</v>
      </c>
      <c r="G518" s="8">
        <v>4.45</v>
      </c>
      <c r="H518" s="8">
        <v>23.3</v>
      </c>
      <c r="I518" s="8" t="s">
        <v>17</v>
      </c>
    </row>
    <row r="519" spans="1:9" ht="12.5">
      <c r="A519" s="20">
        <v>1697082</v>
      </c>
      <c r="B519" s="9" t="s">
        <v>597</v>
      </c>
      <c r="C519" s="9" t="s">
        <v>649</v>
      </c>
      <c r="D519" s="9" t="s">
        <v>3520</v>
      </c>
      <c r="E519" s="9" t="s">
        <v>3521</v>
      </c>
      <c r="F519" s="9" t="s">
        <v>2371</v>
      </c>
      <c r="G519" s="8">
        <v>4.46</v>
      </c>
      <c r="H519" s="8">
        <v>21.3</v>
      </c>
      <c r="I519" s="8" t="s">
        <v>72</v>
      </c>
    </row>
    <row r="520" spans="1:9" ht="12.5">
      <c r="A520" s="20">
        <v>2190916</v>
      </c>
      <c r="B520" s="9" t="s">
        <v>597</v>
      </c>
      <c r="C520" s="9" t="s">
        <v>604</v>
      </c>
      <c r="D520" s="9" t="s">
        <v>3522</v>
      </c>
      <c r="E520" s="9" t="s">
        <v>3523</v>
      </c>
      <c r="F520" s="9" t="s">
        <v>3472</v>
      </c>
      <c r="G520" s="8">
        <v>4.7699999999999996</v>
      </c>
      <c r="H520" s="8">
        <v>7.2</v>
      </c>
      <c r="I520" s="8" t="s">
        <v>17</v>
      </c>
    </row>
    <row r="521" spans="1:9" ht="12.5">
      <c r="A521" s="20">
        <v>2244980</v>
      </c>
      <c r="B521" s="9" t="s">
        <v>597</v>
      </c>
      <c r="C521" s="9" t="s">
        <v>604</v>
      </c>
      <c r="D521" s="9" t="s">
        <v>3524</v>
      </c>
      <c r="E521" s="9" t="s">
        <v>3525</v>
      </c>
      <c r="F521" s="9" t="s">
        <v>3497</v>
      </c>
      <c r="G521" s="8">
        <v>4.5599999999999996</v>
      </c>
      <c r="H521" s="8">
        <v>5.3</v>
      </c>
      <c r="I521" s="8" t="s">
        <v>21</v>
      </c>
    </row>
    <row r="522" spans="1:9" ht="12.5">
      <c r="A522" s="20">
        <v>2580086</v>
      </c>
      <c r="B522" s="9" t="s">
        <v>597</v>
      </c>
      <c r="C522" s="9" t="s">
        <v>601</v>
      </c>
      <c r="D522" s="9" t="s">
        <v>3526</v>
      </c>
      <c r="E522" s="9" t="s">
        <v>3527</v>
      </c>
      <c r="F522" s="9" t="s">
        <v>3528</v>
      </c>
      <c r="G522" s="8">
        <v>4.76</v>
      </c>
      <c r="H522" s="8">
        <v>6.9</v>
      </c>
      <c r="I522" s="8" t="s">
        <v>17</v>
      </c>
    </row>
    <row r="523" spans="1:9" ht="12.5">
      <c r="A523" s="20">
        <v>205994</v>
      </c>
      <c r="B523" s="9" t="s">
        <v>597</v>
      </c>
      <c r="C523" s="9" t="s">
        <v>604</v>
      </c>
      <c r="D523" s="9" t="s">
        <v>3529</v>
      </c>
      <c r="E523" s="9" t="s">
        <v>3530</v>
      </c>
      <c r="F523" s="9" t="s">
        <v>2345</v>
      </c>
      <c r="G523" s="8">
        <v>4.5999999999999996</v>
      </c>
      <c r="H523" s="8">
        <v>2.2999999999999998</v>
      </c>
      <c r="I523" s="8" t="s">
        <v>21</v>
      </c>
    </row>
    <row r="524" spans="1:9" ht="12.5">
      <c r="A524" s="20">
        <v>1094322</v>
      </c>
      <c r="B524" s="9" t="s">
        <v>597</v>
      </c>
      <c r="C524" s="9" t="s">
        <v>649</v>
      </c>
      <c r="D524" s="9" t="s">
        <v>3531</v>
      </c>
      <c r="E524" s="9" t="s">
        <v>3532</v>
      </c>
      <c r="F524" s="9" t="s">
        <v>2339</v>
      </c>
      <c r="G524" s="8">
        <v>4.58</v>
      </c>
      <c r="H524" s="8">
        <v>11.9</v>
      </c>
      <c r="I524" s="8" t="s">
        <v>17</v>
      </c>
    </row>
    <row r="525" spans="1:9" ht="12.5">
      <c r="A525" s="20">
        <v>1385120</v>
      </c>
      <c r="B525" s="9" t="s">
        <v>597</v>
      </c>
      <c r="C525" s="9" t="s">
        <v>601</v>
      </c>
      <c r="D525" s="9" t="s">
        <v>3533</v>
      </c>
      <c r="E525" s="9" t="s">
        <v>3533</v>
      </c>
      <c r="F525" s="9" t="s">
        <v>3534</v>
      </c>
      <c r="G525" s="8">
        <v>4.63</v>
      </c>
      <c r="H525" s="8">
        <v>46.6</v>
      </c>
      <c r="I525" s="8" t="s">
        <v>21</v>
      </c>
    </row>
    <row r="526" spans="1:9" ht="12.5">
      <c r="A526" s="20">
        <v>2700756</v>
      </c>
      <c r="B526" s="9" t="s">
        <v>597</v>
      </c>
      <c r="C526" s="9" t="s">
        <v>598</v>
      </c>
      <c r="D526" s="9" t="s">
        <v>3535</v>
      </c>
      <c r="E526" s="9" t="s">
        <v>3536</v>
      </c>
      <c r="F526" s="9" t="s">
        <v>3537</v>
      </c>
      <c r="G526" s="8">
        <v>4.7</v>
      </c>
      <c r="H526" s="8">
        <v>4.5</v>
      </c>
      <c r="I526" s="8" t="s">
        <v>21</v>
      </c>
    </row>
    <row r="527" spans="1:9" ht="12.5">
      <c r="A527" s="20">
        <v>51510</v>
      </c>
      <c r="B527" s="9" t="s">
        <v>597</v>
      </c>
      <c r="C527" s="9" t="s">
        <v>604</v>
      </c>
      <c r="D527" s="9" t="s">
        <v>3538</v>
      </c>
      <c r="E527" s="9" t="s">
        <v>3538</v>
      </c>
      <c r="F527" s="9" t="s">
        <v>3539</v>
      </c>
      <c r="G527" s="8">
        <v>4.22</v>
      </c>
      <c r="H527" s="8">
        <v>6.9</v>
      </c>
      <c r="I527" s="8" t="s">
        <v>17</v>
      </c>
    </row>
    <row r="528" spans="1:9" ht="12.5">
      <c r="A528" s="20">
        <v>880874</v>
      </c>
      <c r="B528" s="9" t="s">
        <v>597</v>
      </c>
      <c r="C528" s="9" t="s">
        <v>598</v>
      </c>
      <c r="D528" s="9" t="s">
        <v>3540</v>
      </c>
      <c r="E528" s="9" t="s">
        <v>3541</v>
      </c>
      <c r="F528" s="9" t="s">
        <v>2313</v>
      </c>
      <c r="G528" s="8">
        <v>4.76</v>
      </c>
      <c r="H528" s="8">
        <v>3.9</v>
      </c>
      <c r="I528" s="8" t="s">
        <v>72</v>
      </c>
    </row>
    <row r="529" spans="1:9" ht="12.5">
      <c r="A529" s="20">
        <v>3196108</v>
      </c>
      <c r="B529" s="9" t="s">
        <v>597</v>
      </c>
      <c r="C529" s="9" t="s">
        <v>604</v>
      </c>
      <c r="D529" s="9" t="s">
        <v>3542</v>
      </c>
      <c r="E529" s="9" t="s">
        <v>3543</v>
      </c>
      <c r="F529" s="9" t="s">
        <v>3544</v>
      </c>
      <c r="G529" s="8">
        <v>4.57</v>
      </c>
      <c r="H529" s="8">
        <v>54</v>
      </c>
      <c r="I529" s="8" t="s">
        <v>21</v>
      </c>
    </row>
    <row r="530" spans="1:9" ht="12.5">
      <c r="A530" s="20">
        <v>1746908</v>
      </c>
      <c r="B530" s="9" t="s">
        <v>597</v>
      </c>
      <c r="C530" s="9" t="s">
        <v>598</v>
      </c>
      <c r="D530" s="9" t="s">
        <v>3545</v>
      </c>
      <c r="E530" s="9" t="s">
        <v>3546</v>
      </c>
      <c r="F530" s="9" t="s">
        <v>3512</v>
      </c>
      <c r="G530" s="8">
        <v>4.26</v>
      </c>
      <c r="H530" s="8">
        <v>2.1</v>
      </c>
      <c r="I530" s="8" t="s">
        <v>17</v>
      </c>
    </row>
    <row r="531" spans="1:9" ht="12.5">
      <c r="A531" s="20">
        <v>56052</v>
      </c>
      <c r="B531" s="9" t="s">
        <v>597</v>
      </c>
      <c r="C531" s="9" t="s">
        <v>604</v>
      </c>
      <c r="D531" s="9" t="s">
        <v>3547</v>
      </c>
      <c r="E531" s="9" t="s">
        <v>3548</v>
      </c>
      <c r="F531" s="9" t="s">
        <v>3539</v>
      </c>
      <c r="G531" s="8">
        <v>4.93</v>
      </c>
      <c r="H531" s="8">
        <v>7.3</v>
      </c>
      <c r="I531" s="8" t="s">
        <v>17</v>
      </c>
    </row>
    <row r="532" spans="1:9" ht="12.5">
      <c r="A532" s="20">
        <v>1436924</v>
      </c>
      <c r="B532" s="9" t="s">
        <v>597</v>
      </c>
      <c r="C532" s="9" t="s">
        <v>601</v>
      </c>
      <c r="D532" s="9" t="s">
        <v>3549</v>
      </c>
      <c r="E532" s="9" t="s">
        <v>3550</v>
      </c>
      <c r="F532" s="9" t="s">
        <v>3475</v>
      </c>
      <c r="G532" s="8">
        <v>4.8099999999999996</v>
      </c>
      <c r="H532" s="11"/>
      <c r="I532" s="8" t="s">
        <v>21</v>
      </c>
    </row>
    <row r="533" spans="1:9" ht="12.5">
      <c r="A533" s="20">
        <v>1693622</v>
      </c>
      <c r="B533" s="9" t="s">
        <v>597</v>
      </c>
      <c r="C533" s="9" t="s">
        <v>598</v>
      </c>
      <c r="D533" s="9" t="s">
        <v>3551</v>
      </c>
      <c r="E533" s="9" t="s">
        <v>3552</v>
      </c>
      <c r="F533" s="9" t="s">
        <v>3553</v>
      </c>
      <c r="G533" s="8">
        <v>4.22</v>
      </c>
      <c r="H533" s="8">
        <v>3.5</v>
      </c>
      <c r="I533" s="8" t="s">
        <v>17</v>
      </c>
    </row>
    <row r="534" spans="1:9" ht="12.5">
      <c r="A534" s="20">
        <v>144634</v>
      </c>
      <c r="B534" s="9" t="s">
        <v>597</v>
      </c>
      <c r="C534" s="9" t="s">
        <v>1636</v>
      </c>
      <c r="D534" s="9" t="s">
        <v>3554</v>
      </c>
      <c r="E534" s="9" t="s">
        <v>3555</v>
      </c>
      <c r="F534" s="9" t="s">
        <v>3556</v>
      </c>
      <c r="G534" s="8">
        <v>4.21</v>
      </c>
      <c r="H534" s="8">
        <v>4.5</v>
      </c>
      <c r="I534" s="8" t="s">
        <v>17</v>
      </c>
    </row>
    <row r="535" spans="1:9" ht="12.5">
      <c r="A535" s="20">
        <v>2345384</v>
      </c>
      <c r="B535" s="9" t="s">
        <v>597</v>
      </c>
      <c r="C535" s="9" t="s">
        <v>598</v>
      </c>
      <c r="D535" s="9" t="s">
        <v>3557</v>
      </c>
      <c r="E535" s="9" t="s">
        <v>3558</v>
      </c>
      <c r="F535" s="9" t="s">
        <v>3559</v>
      </c>
      <c r="G535" s="8">
        <v>4.57</v>
      </c>
      <c r="H535" s="8">
        <v>8.9</v>
      </c>
      <c r="I535" s="8" t="s">
        <v>21</v>
      </c>
    </row>
    <row r="536" spans="1:9" ht="12.5">
      <c r="A536" s="20">
        <v>2641376</v>
      </c>
      <c r="B536" s="9" t="s">
        <v>597</v>
      </c>
      <c r="C536" s="9" t="s">
        <v>598</v>
      </c>
      <c r="D536" s="9" t="s">
        <v>3560</v>
      </c>
      <c r="E536" s="9" t="s">
        <v>3560</v>
      </c>
      <c r="F536" s="9" t="s">
        <v>3561</v>
      </c>
      <c r="G536" s="8">
        <v>4.58</v>
      </c>
      <c r="H536" s="11"/>
      <c r="I536" s="8" t="s">
        <v>259</v>
      </c>
    </row>
    <row r="537" spans="1:9" ht="12.5">
      <c r="A537" s="20">
        <v>1490012</v>
      </c>
      <c r="B537" s="9" t="s">
        <v>597</v>
      </c>
      <c r="C537" s="9" t="s">
        <v>649</v>
      </c>
      <c r="D537" s="9" t="s">
        <v>3562</v>
      </c>
      <c r="E537" s="9" t="s">
        <v>3563</v>
      </c>
      <c r="F537" s="9" t="s">
        <v>3564</v>
      </c>
      <c r="G537" s="8">
        <v>4.46</v>
      </c>
      <c r="H537" s="8">
        <v>4.5</v>
      </c>
      <c r="I537" s="8" t="s">
        <v>17</v>
      </c>
    </row>
    <row r="538" spans="1:9" ht="12.5">
      <c r="A538" s="20">
        <v>2100828</v>
      </c>
      <c r="B538" s="9" t="s">
        <v>597</v>
      </c>
      <c r="C538" s="9" t="s">
        <v>601</v>
      </c>
      <c r="D538" s="9" t="s">
        <v>3565</v>
      </c>
      <c r="E538" s="9" t="s">
        <v>3566</v>
      </c>
      <c r="F538" s="9" t="s">
        <v>3470</v>
      </c>
      <c r="G538" s="8">
        <v>4.63</v>
      </c>
      <c r="H538" s="8">
        <v>7.4</v>
      </c>
      <c r="I538" s="8" t="s">
        <v>21</v>
      </c>
    </row>
    <row r="539" spans="1:9" ht="12.5">
      <c r="A539" s="20">
        <v>1118450</v>
      </c>
      <c r="B539" s="9" t="s">
        <v>597</v>
      </c>
      <c r="C539" s="9" t="s">
        <v>598</v>
      </c>
      <c r="D539" s="9" t="s">
        <v>3567</v>
      </c>
      <c r="E539" s="9" t="s">
        <v>3568</v>
      </c>
      <c r="F539" s="9" t="s">
        <v>3569</v>
      </c>
      <c r="G539" s="8">
        <v>4.45</v>
      </c>
      <c r="H539" s="8">
        <v>10.7</v>
      </c>
      <c r="I539" s="8" t="s">
        <v>21</v>
      </c>
    </row>
    <row r="540" spans="1:9" ht="12.5">
      <c r="A540" s="20">
        <v>1161094</v>
      </c>
      <c r="B540" s="9" t="s">
        <v>597</v>
      </c>
      <c r="C540" s="9" t="s">
        <v>598</v>
      </c>
      <c r="D540" s="9" t="s">
        <v>3570</v>
      </c>
      <c r="E540" s="9" t="s">
        <v>3571</v>
      </c>
      <c r="F540" s="9" t="s">
        <v>3497</v>
      </c>
      <c r="G540" s="8">
        <v>4.74</v>
      </c>
      <c r="H540" s="8">
        <v>2.5</v>
      </c>
      <c r="I540" s="8" t="s">
        <v>21</v>
      </c>
    </row>
    <row r="541" spans="1:9" ht="12.5">
      <c r="A541" s="20">
        <v>1011736</v>
      </c>
      <c r="B541" s="9" t="s">
        <v>597</v>
      </c>
      <c r="C541" s="9" t="s">
        <v>598</v>
      </c>
      <c r="D541" s="9" t="s">
        <v>3572</v>
      </c>
      <c r="E541" s="9" t="s">
        <v>3573</v>
      </c>
      <c r="F541" s="9" t="s">
        <v>2313</v>
      </c>
      <c r="G541" s="8">
        <v>4.71</v>
      </c>
      <c r="H541" s="8">
        <v>4.8</v>
      </c>
      <c r="I541" s="8" t="s">
        <v>72</v>
      </c>
    </row>
    <row r="542" spans="1:9" ht="12.5">
      <c r="A542" s="20">
        <v>1661868</v>
      </c>
      <c r="B542" s="9" t="s">
        <v>597</v>
      </c>
      <c r="C542" s="9" t="s">
        <v>598</v>
      </c>
      <c r="D542" s="9" t="s">
        <v>3574</v>
      </c>
      <c r="E542" s="9" t="s">
        <v>3575</v>
      </c>
      <c r="F542" s="9" t="s">
        <v>3481</v>
      </c>
      <c r="G542" s="8">
        <v>4.6399999999999997</v>
      </c>
      <c r="H542" s="8">
        <v>6.8</v>
      </c>
      <c r="I542" s="8" t="s">
        <v>17</v>
      </c>
    </row>
    <row r="543" spans="1:9" ht="12.5">
      <c r="A543" s="20">
        <v>1795242</v>
      </c>
      <c r="B543" s="9" t="s">
        <v>597</v>
      </c>
      <c r="C543" s="9" t="s">
        <v>604</v>
      </c>
      <c r="D543" s="9" t="s">
        <v>3576</v>
      </c>
      <c r="E543" s="9" t="s">
        <v>3577</v>
      </c>
      <c r="F543" s="9" t="s">
        <v>3578</v>
      </c>
      <c r="G543" s="8">
        <v>4.6100000000000003</v>
      </c>
      <c r="H543" s="8">
        <v>23.9</v>
      </c>
      <c r="I543" s="8" t="s">
        <v>21</v>
      </c>
    </row>
    <row r="544" spans="1:9" ht="12.5">
      <c r="A544" s="20">
        <v>2088864</v>
      </c>
      <c r="B544" s="9" t="s">
        <v>597</v>
      </c>
      <c r="C544" s="9" t="s">
        <v>598</v>
      </c>
      <c r="D544" s="9" t="s">
        <v>3579</v>
      </c>
      <c r="E544" s="9" t="s">
        <v>3580</v>
      </c>
      <c r="F544" s="9" t="s">
        <v>3465</v>
      </c>
      <c r="G544" s="8">
        <v>4.54</v>
      </c>
      <c r="H544" s="8">
        <v>7.3</v>
      </c>
      <c r="I544" s="8" t="s">
        <v>72</v>
      </c>
    </row>
    <row r="545" spans="1:9" ht="12.5">
      <c r="A545" s="20">
        <v>2722022</v>
      </c>
      <c r="B545" s="9" t="s">
        <v>597</v>
      </c>
      <c r="C545" s="9" t="s">
        <v>601</v>
      </c>
      <c r="D545" s="9" t="s">
        <v>3581</v>
      </c>
      <c r="E545" s="9" t="s">
        <v>3582</v>
      </c>
      <c r="F545" s="9" t="s">
        <v>2313</v>
      </c>
      <c r="G545" s="8">
        <v>4.3600000000000003</v>
      </c>
      <c r="H545" s="11"/>
      <c r="I545" s="8" t="s">
        <v>17</v>
      </c>
    </row>
    <row r="546" spans="1:9" ht="12.5">
      <c r="A546" s="20">
        <v>2843230</v>
      </c>
      <c r="B546" s="9" t="s">
        <v>597</v>
      </c>
      <c r="C546" s="9" t="s">
        <v>604</v>
      </c>
      <c r="D546" s="9" t="s">
        <v>3583</v>
      </c>
      <c r="E546" s="9" t="s">
        <v>3584</v>
      </c>
      <c r="F546" s="9" t="s">
        <v>2318</v>
      </c>
      <c r="G546" s="8">
        <v>4.43</v>
      </c>
      <c r="H546" s="8">
        <v>15.4</v>
      </c>
      <c r="I546" s="8" t="s">
        <v>17</v>
      </c>
    </row>
    <row r="547" spans="1:9" ht="12.5">
      <c r="A547" s="20">
        <v>259154</v>
      </c>
      <c r="B547" s="9" t="s">
        <v>597</v>
      </c>
      <c r="C547" s="9" t="s">
        <v>598</v>
      </c>
      <c r="D547" s="9" t="s">
        <v>3585</v>
      </c>
      <c r="E547" s="9" t="s">
        <v>3586</v>
      </c>
      <c r="F547" s="9" t="s">
        <v>3587</v>
      </c>
      <c r="G547" s="8">
        <v>4.2</v>
      </c>
      <c r="H547" s="8">
        <v>10.4</v>
      </c>
      <c r="I547" s="8" t="s">
        <v>21</v>
      </c>
    </row>
    <row r="548" spans="1:9" ht="12.5">
      <c r="A548" s="20">
        <v>1449370</v>
      </c>
      <c r="B548" s="9" t="s">
        <v>597</v>
      </c>
      <c r="C548" s="9" t="s">
        <v>604</v>
      </c>
      <c r="D548" s="9" t="s">
        <v>3588</v>
      </c>
      <c r="E548" s="9" t="s">
        <v>3588</v>
      </c>
      <c r="F548" s="9" t="s">
        <v>3472</v>
      </c>
      <c r="G548" s="8">
        <v>4.43</v>
      </c>
      <c r="H548" s="8">
        <v>2.8</v>
      </c>
      <c r="I548" s="8" t="s">
        <v>17</v>
      </c>
    </row>
    <row r="549" spans="1:9" ht="12.5">
      <c r="A549" s="20">
        <v>2077388</v>
      </c>
      <c r="B549" s="9" t="s">
        <v>597</v>
      </c>
      <c r="C549" s="9" t="s">
        <v>601</v>
      </c>
      <c r="D549" s="9" t="s">
        <v>3589</v>
      </c>
      <c r="E549" s="9" t="s">
        <v>3590</v>
      </c>
      <c r="F549" s="9" t="s">
        <v>2313</v>
      </c>
      <c r="G549" s="8">
        <v>4.7</v>
      </c>
      <c r="H549" s="8">
        <v>1.3</v>
      </c>
      <c r="I549" s="8" t="s">
        <v>17</v>
      </c>
    </row>
    <row r="550" spans="1:9" ht="12.5">
      <c r="A550" s="20">
        <v>2630310</v>
      </c>
      <c r="B550" s="9" t="s">
        <v>597</v>
      </c>
      <c r="C550" s="9" t="s">
        <v>601</v>
      </c>
      <c r="D550" s="9" t="s">
        <v>3591</v>
      </c>
      <c r="E550" s="9" t="s">
        <v>3592</v>
      </c>
      <c r="F550" s="9" t="s">
        <v>2313</v>
      </c>
      <c r="G550" s="8">
        <v>4.55</v>
      </c>
      <c r="H550" s="11"/>
      <c r="I550" s="8" t="s">
        <v>17</v>
      </c>
    </row>
    <row r="551" spans="1:9" ht="12.5">
      <c r="A551" s="20">
        <v>2972470</v>
      </c>
      <c r="B551" s="9" t="s">
        <v>597</v>
      </c>
      <c r="C551" s="9" t="s">
        <v>598</v>
      </c>
      <c r="D551" s="9" t="s">
        <v>3593</v>
      </c>
      <c r="E551" s="9" t="s">
        <v>3594</v>
      </c>
      <c r="F551" s="9" t="s">
        <v>3481</v>
      </c>
      <c r="G551" s="8">
        <v>4.75</v>
      </c>
      <c r="H551" s="8">
        <v>8.4</v>
      </c>
      <c r="I551" s="8" t="s">
        <v>17</v>
      </c>
    </row>
    <row r="552" spans="1:9" ht="12.5">
      <c r="A552" s="20">
        <v>3433848</v>
      </c>
      <c r="B552" s="9" t="s">
        <v>597</v>
      </c>
      <c r="C552" s="9" t="s">
        <v>604</v>
      </c>
      <c r="D552" s="9" t="s">
        <v>3595</v>
      </c>
      <c r="E552" s="9" t="s">
        <v>3596</v>
      </c>
      <c r="F552" s="9" t="s">
        <v>3597</v>
      </c>
      <c r="G552" s="8">
        <v>4.9400000000000004</v>
      </c>
      <c r="H552" s="8">
        <v>22.6</v>
      </c>
      <c r="I552" s="8" t="s">
        <v>21</v>
      </c>
    </row>
    <row r="553" spans="1:9" ht="12.5">
      <c r="A553" s="20">
        <v>1701700</v>
      </c>
      <c r="B553" s="9" t="s">
        <v>597</v>
      </c>
      <c r="C553" s="9" t="s">
        <v>598</v>
      </c>
      <c r="D553" s="9" t="s">
        <v>3598</v>
      </c>
      <c r="E553" s="9" t="s">
        <v>3598</v>
      </c>
      <c r="F553" s="9" t="s">
        <v>3599</v>
      </c>
      <c r="G553" s="8">
        <v>4.12</v>
      </c>
      <c r="H553" s="8">
        <v>12.4</v>
      </c>
      <c r="I553" s="8" t="s">
        <v>21</v>
      </c>
    </row>
    <row r="554" spans="1:9" ht="12.5">
      <c r="A554" s="20">
        <v>2073248</v>
      </c>
      <c r="B554" s="9" t="s">
        <v>597</v>
      </c>
      <c r="C554" s="9" t="s">
        <v>601</v>
      </c>
      <c r="D554" s="9" t="s">
        <v>3600</v>
      </c>
      <c r="E554" s="9" t="s">
        <v>3601</v>
      </c>
      <c r="F554" s="9" t="s">
        <v>2313</v>
      </c>
      <c r="G554" s="8">
        <v>4.37</v>
      </c>
      <c r="H554" s="8">
        <v>19.8</v>
      </c>
      <c r="I554" s="8" t="s">
        <v>72</v>
      </c>
    </row>
    <row r="555" spans="1:9" ht="12.5">
      <c r="A555" s="20">
        <v>2389086</v>
      </c>
      <c r="B555" s="9" t="s">
        <v>597</v>
      </c>
      <c r="C555" s="9" t="s">
        <v>598</v>
      </c>
      <c r="D555" s="9" t="s">
        <v>3602</v>
      </c>
      <c r="E555" s="9" t="s">
        <v>3603</v>
      </c>
      <c r="F555" s="9" t="s">
        <v>3481</v>
      </c>
      <c r="G555" s="8">
        <v>4.71</v>
      </c>
      <c r="H555" s="8">
        <v>9.1999999999999993</v>
      </c>
      <c r="I555" s="8" t="s">
        <v>17</v>
      </c>
    </row>
    <row r="556" spans="1:9" ht="12.5">
      <c r="A556" s="20">
        <v>2905245</v>
      </c>
      <c r="B556" s="9" t="s">
        <v>597</v>
      </c>
      <c r="C556" s="9" t="s">
        <v>601</v>
      </c>
      <c r="D556" s="9" t="s">
        <v>3604</v>
      </c>
      <c r="E556" s="9" t="s">
        <v>3605</v>
      </c>
      <c r="F556" s="9" t="s">
        <v>2313</v>
      </c>
      <c r="G556" s="8">
        <v>4.75</v>
      </c>
      <c r="H556" s="8">
        <v>1.6</v>
      </c>
      <c r="I556" s="8" t="s">
        <v>17</v>
      </c>
    </row>
    <row r="557" spans="1:9" ht="12.5">
      <c r="A557" s="20">
        <v>1039202</v>
      </c>
      <c r="B557" s="9" t="s">
        <v>597</v>
      </c>
      <c r="C557" s="9" t="s">
        <v>601</v>
      </c>
      <c r="D557" s="9" t="s">
        <v>3606</v>
      </c>
      <c r="E557" s="9" t="s">
        <v>3607</v>
      </c>
      <c r="F557" s="9" t="s">
        <v>2313</v>
      </c>
      <c r="G557" s="8">
        <v>4.6500000000000004</v>
      </c>
      <c r="H557" s="8">
        <v>14.3</v>
      </c>
      <c r="I557" s="8" t="s">
        <v>17</v>
      </c>
    </row>
    <row r="558" spans="1:9" ht="12.5">
      <c r="A558" s="20">
        <v>1053838</v>
      </c>
      <c r="B558" s="9" t="s">
        <v>597</v>
      </c>
      <c r="C558" s="9" t="s">
        <v>601</v>
      </c>
      <c r="D558" s="9" t="s">
        <v>3608</v>
      </c>
      <c r="E558" s="9" t="s">
        <v>3608</v>
      </c>
      <c r="F558" s="9" t="s">
        <v>3609</v>
      </c>
      <c r="G558" s="8">
        <v>4.68</v>
      </c>
      <c r="H558" s="8">
        <v>8.1</v>
      </c>
      <c r="I558" s="8" t="s">
        <v>72</v>
      </c>
    </row>
    <row r="559" spans="1:9" ht="12.5">
      <c r="A559" s="20">
        <v>1129128</v>
      </c>
      <c r="B559" s="9" t="s">
        <v>597</v>
      </c>
      <c r="C559" s="9" t="s">
        <v>604</v>
      </c>
      <c r="D559" s="9" t="s">
        <v>3610</v>
      </c>
      <c r="E559" s="9" t="s">
        <v>3611</v>
      </c>
      <c r="F559" s="9" t="s">
        <v>3553</v>
      </c>
      <c r="G559" s="8">
        <v>4.5199999999999996</v>
      </c>
      <c r="H559" s="8">
        <v>8.1999999999999993</v>
      </c>
      <c r="I559" s="8" t="s">
        <v>17</v>
      </c>
    </row>
    <row r="560" spans="1:9" ht="12.5">
      <c r="A560" s="20">
        <v>898696</v>
      </c>
      <c r="B560" s="9" t="s">
        <v>597</v>
      </c>
      <c r="C560" s="9" t="s">
        <v>604</v>
      </c>
      <c r="D560" s="9" t="s">
        <v>3612</v>
      </c>
      <c r="E560" s="9" t="s">
        <v>3613</v>
      </c>
      <c r="F560" s="9" t="s">
        <v>3472</v>
      </c>
      <c r="G560" s="8">
        <v>4.74</v>
      </c>
      <c r="H560" s="8">
        <v>4.5</v>
      </c>
      <c r="I560" s="8" t="s">
        <v>72</v>
      </c>
    </row>
    <row r="561" spans="1:9" ht="12.5">
      <c r="A561" s="20">
        <v>902580</v>
      </c>
      <c r="B561" s="9" t="s">
        <v>597</v>
      </c>
      <c r="C561" s="9" t="s">
        <v>601</v>
      </c>
      <c r="D561" s="9" t="s">
        <v>3614</v>
      </c>
      <c r="E561" s="9" t="s">
        <v>3615</v>
      </c>
      <c r="F561" s="9" t="s">
        <v>2313</v>
      </c>
      <c r="G561" s="8">
        <v>4.6500000000000004</v>
      </c>
      <c r="H561" s="8">
        <v>1</v>
      </c>
      <c r="I561" s="8" t="s">
        <v>17</v>
      </c>
    </row>
    <row r="562" spans="1:9" ht="12.5">
      <c r="A562" s="20">
        <v>2362326</v>
      </c>
      <c r="B562" s="9" t="s">
        <v>597</v>
      </c>
      <c r="C562" s="9" t="s">
        <v>598</v>
      </c>
      <c r="D562" s="9" t="s">
        <v>3616</v>
      </c>
      <c r="E562" s="9" t="s">
        <v>3617</v>
      </c>
      <c r="F562" s="9" t="s">
        <v>3618</v>
      </c>
      <c r="G562" s="8">
        <v>4.34</v>
      </c>
      <c r="H562" s="8">
        <v>4.2</v>
      </c>
      <c r="I562" s="8" t="s">
        <v>21</v>
      </c>
    </row>
    <row r="563" spans="1:9" ht="12.5">
      <c r="A563" s="20">
        <v>3305110</v>
      </c>
      <c r="B563" s="9" t="s">
        <v>597</v>
      </c>
      <c r="C563" s="9" t="s">
        <v>604</v>
      </c>
      <c r="D563" s="9" t="s">
        <v>3619</v>
      </c>
      <c r="E563" s="9" t="s">
        <v>3620</v>
      </c>
      <c r="F563" s="9" t="s">
        <v>3621</v>
      </c>
      <c r="G563" s="8">
        <v>4.66</v>
      </c>
      <c r="H563" s="8">
        <v>16.399999999999999</v>
      </c>
      <c r="I563" s="8" t="s">
        <v>21</v>
      </c>
    </row>
    <row r="564" spans="1:9" ht="12.5">
      <c r="A564" s="20">
        <v>1403484</v>
      </c>
      <c r="B564" s="9" t="s">
        <v>597</v>
      </c>
      <c r="C564" s="9" t="s">
        <v>601</v>
      </c>
      <c r="D564" s="9" t="s">
        <v>3622</v>
      </c>
      <c r="E564" s="9" t="s">
        <v>3623</v>
      </c>
      <c r="F564" s="9" t="s">
        <v>3624</v>
      </c>
      <c r="G564" s="8">
        <v>4.71</v>
      </c>
      <c r="H564" s="11"/>
      <c r="I564" s="8" t="s">
        <v>17</v>
      </c>
    </row>
    <row r="565" spans="1:9" ht="12.5">
      <c r="A565" s="20">
        <v>1883834</v>
      </c>
      <c r="B565" s="9" t="s">
        <v>597</v>
      </c>
      <c r="C565" s="9" t="s">
        <v>604</v>
      </c>
      <c r="D565" s="9" t="s">
        <v>3625</v>
      </c>
      <c r="E565" s="9" t="s">
        <v>3626</v>
      </c>
      <c r="F565" s="9" t="s">
        <v>3627</v>
      </c>
      <c r="G565" s="8">
        <v>4.9000000000000004</v>
      </c>
      <c r="H565" s="8">
        <v>2</v>
      </c>
      <c r="I565" s="8" t="s">
        <v>17</v>
      </c>
    </row>
    <row r="566" spans="1:9" ht="12.5">
      <c r="A566" s="20">
        <v>2278705</v>
      </c>
      <c r="B566" s="9" t="s">
        <v>597</v>
      </c>
      <c r="C566" s="9" t="s">
        <v>604</v>
      </c>
      <c r="D566" s="9" t="s">
        <v>3628</v>
      </c>
      <c r="E566" s="9" t="s">
        <v>3629</v>
      </c>
      <c r="F566" s="9" t="s">
        <v>3630</v>
      </c>
      <c r="G566" s="8">
        <v>4.79</v>
      </c>
      <c r="H566" s="8">
        <v>6.8</v>
      </c>
      <c r="I566" s="8" t="s">
        <v>21</v>
      </c>
    </row>
    <row r="567" spans="1:9" ht="12.5">
      <c r="A567" s="20">
        <v>2489120</v>
      </c>
      <c r="B567" s="9" t="s">
        <v>597</v>
      </c>
      <c r="C567" s="9" t="s">
        <v>604</v>
      </c>
      <c r="D567" s="9" t="s">
        <v>3631</v>
      </c>
      <c r="E567" s="9" t="s">
        <v>3632</v>
      </c>
      <c r="F567" s="9" t="s">
        <v>3633</v>
      </c>
      <c r="G567" s="8">
        <v>4.78</v>
      </c>
      <c r="H567" s="8">
        <v>6.2</v>
      </c>
      <c r="I567" s="8" t="s">
        <v>17</v>
      </c>
    </row>
    <row r="568" spans="1:9" ht="12.5">
      <c r="A568" s="20">
        <v>767614</v>
      </c>
      <c r="B568" s="9" t="s">
        <v>597</v>
      </c>
      <c r="C568" s="9" t="s">
        <v>601</v>
      </c>
      <c r="D568" s="9" t="s">
        <v>3634</v>
      </c>
      <c r="E568" s="9" t="s">
        <v>3634</v>
      </c>
      <c r="F568" s="9" t="s">
        <v>3624</v>
      </c>
      <c r="G568" s="8">
        <v>4.54</v>
      </c>
      <c r="H568" s="8">
        <v>15.8</v>
      </c>
      <c r="I568" s="8" t="s">
        <v>21</v>
      </c>
    </row>
    <row r="569" spans="1:9" ht="12.5">
      <c r="A569" s="20">
        <v>1964482</v>
      </c>
      <c r="B569" s="9" t="s">
        <v>597</v>
      </c>
      <c r="C569" s="9" t="s">
        <v>604</v>
      </c>
      <c r="D569" s="9" t="s">
        <v>3635</v>
      </c>
      <c r="E569" s="9" t="s">
        <v>3636</v>
      </c>
      <c r="F569" s="9" t="s">
        <v>3637</v>
      </c>
      <c r="G569" s="8">
        <v>4.5999999999999996</v>
      </c>
      <c r="H569" s="8">
        <v>15.6</v>
      </c>
      <c r="I569" s="8" t="s">
        <v>21</v>
      </c>
    </row>
    <row r="570" spans="1:9" ht="12.5">
      <c r="A570" s="20">
        <v>2022588</v>
      </c>
      <c r="B570" s="9" t="s">
        <v>597</v>
      </c>
      <c r="C570" s="9" t="s">
        <v>601</v>
      </c>
      <c r="D570" s="9" t="s">
        <v>3638</v>
      </c>
      <c r="E570" s="9" t="s">
        <v>3639</v>
      </c>
      <c r="F570" s="9" t="s">
        <v>3640</v>
      </c>
      <c r="G570" s="8">
        <v>4.67</v>
      </c>
      <c r="H570" s="8">
        <v>11.4</v>
      </c>
      <c r="I570" s="8" t="s">
        <v>21</v>
      </c>
    </row>
    <row r="571" spans="1:9" ht="12.5">
      <c r="A571" s="20">
        <v>2305536</v>
      </c>
      <c r="B571" s="9" t="s">
        <v>597</v>
      </c>
      <c r="C571" s="9" t="s">
        <v>598</v>
      </c>
      <c r="D571" s="9" t="s">
        <v>3641</v>
      </c>
      <c r="E571" s="9" t="s">
        <v>3642</v>
      </c>
      <c r="F571" s="9" t="s">
        <v>3643</v>
      </c>
      <c r="G571" s="8">
        <v>4.6900000000000004</v>
      </c>
      <c r="H571" s="8">
        <v>3.7</v>
      </c>
      <c r="I571" s="8" t="s">
        <v>21</v>
      </c>
    </row>
    <row r="572" spans="1:9" ht="12.5">
      <c r="A572" s="20">
        <v>2372980</v>
      </c>
      <c r="B572" s="9" t="s">
        <v>597</v>
      </c>
      <c r="C572" s="9" t="s">
        <v>604</v>
      </c>
      <c r="D572" s="9" t="s">
        <v>3644</v>
      </c>
      <c r="E572" s="9" t="s">
        <v>3645</v>
      </c>
      <c r="F572" s="9" t="s">
        <v>3494</v>
      </c>
      <c r="G572" s="8">
        <v>4.8600000000000003</v>
      </c>
      <c r="H572" s="8">
        <v>4.4000000000000004</v>
      </c>
      <c r="I572" s="8" t="s">
        <v>21</v>
      </c>
    </row>
    <row r="573" spans="1:9" ht="12.5">
      <c r="A573" s="20">
        <v>2802341</v>
      </c>
      <c r="B573" s="9" t="s">
        <v>597</v>
      </c>
      <c r="C573" s="9" t="s">
        <v>604</v>
      </c>
      <c r="D573" s="9" t="s">
        <v>3646</v>
      </c>
      <c r="E573" s="9" t="s">
        <v>3647</v>
      </c>
      <c r="F573" s="9" t="s">
        <v>3637</v>
      </c>
      <c r="G573" s="8">
        <v>4.54</v>
      </c>
      <c r="H573" s="8">
        <v>11.3</v>
      </c>
      <c r="I573" s="8" t="s">
        <v>259</v>
      </c>
    </row>
    <row r="574" spans="1:9" ht="12.5">
      <c r="A574" s="20">
        <v>2993246</v>
      </c>
      <c r="B574" s="9" t="s">
        <v>597</v>
      </c>
      <c r="C574" s="9" t="s">
        <v>604</v>
      </c>
      <c r="D574" s="9" t="s">
        <v>3648</v>
      </c>
      <c r="E574" s="9" t="s">
        <v>3649</v>
      </c>
      <c r="F574" s="9" t="s">
        <v>3650</v>
      </c>
      <c r="G574" s="8">
        <v>4.87</v>
      </c>
      <c r="H574" s="8">
        <v>8.9</v>
      </c>
      <c r="I574" s="8" t="s">
        <v>17</v>
      </c>
    </row>
    <row r="575" spans="1:9" ht="12.5">
      <c r="A575" s="20">
        <v>3063904</v>
      </c>
      <c r="B575" s="9" t="s">
        <v>597</v>
      </c>
      <c r="C575" s="9" t="s">
        <v>598</v>
      </c>
      <c r="D575" s="9" t="s">
        <v>3651</v>
      </c>
      <c r="E575" s="9" t="s">
        <v>3652</v>
      </c>
      <c r="F575" s="9" t="s">
        <v>3650</v>
      </c>
      <c r="G575" s="8">
        <v>4.5199999999999996</v>
      </c>
      <c r="H575" s="8">
        <v>10.6</v>
      </c>
      <c r="I575" s="8" t="s">
        <v>21</v>
      </c>
    </row>
    <row r="576" spans="1:9" ht="12.5">
      <c r="A576" s="20">
        <v>3250050</v>
      </c>
      <c r="B576" s="9" t="s">
        <v>597</v>
      </c>
      <c r="C576" s="9" t="s">
        <v>598</v>
      </c>
      <c r="D576" s="9" t="s">
        <v>3653</v>
      </c>
      <c r="E576" s="9" t="s">
        <v>3654</v>
      </c>
      <c r="F576" s="9" t="s">
        <v>3655</v>
      </c>
      <c r="G576" s="8">
        <v>4.8600000000000003</v>
      </c>
      <c r="H576" s="8">
        <v>3.5</v>
      </c>
      <c r="I576" s="8" t="s">
        <v>17</v>
      </c>
    </row>
    <row r="577" spans="1:9" ht="12.5">
      <c r="A577" s="20">
        <v>3367608</v>
      </c>
      <c r="B577" s="9" t="s">
        <v>597</v>
      </c>
      <c r="C577" s="9" t="s">
        <v>604</v>
      </c>
      <c r="D577" s="9" t="s">
        <v>3656</v>
      </c>
      <c r="E577" s="9" t="s">
        <v>3657</v>
      </c>
      <c r="F577" s="9" t="s">
        <v>3658</v>
      </c>
      <c r="G577" s="8">
        <v>4.7300000000000004</v>
      </c>
      <c r="H577" s="8">
        <v>0.9</v>
      </c>
      <c r="I577" s="8" t="s">
        <v>17</v>
      </c>
    </row>
    <row r="578" spans="1:9" ht="12.5">
      <c r="A578" s="20">
        <v>1629650</v>
      </c>
      <c r="B578" s="9" t="s">
        <v>672</v>
      </c>
      <c r="C578" s="9" t="s">
        <v>677</v>
      </c>
      <c r="D578" s="9" t="s">
        <v>3659</v>
      </c>
      <c r="E578" s="9" t="s">
        <v>3660</v>
      </c>
      <c r="F578" s="9" t="s">
        <v>3661</v>
      </c>
      <c r="G578" s="8">
        <v>4.2300000000000004</v>
      </c>
      <c r="H578" s="8">
        <v>4.9000000000000004</v>
      </c>
      <c r="I578" s="8" t="s">
        <v>21</v>
      </c>
    </row>
    <row r="579" spans="1:9" ht="12.5">
      <c r="A579" s="20">
        <v>2782386</v>
      </c>
      <c r="B579" s="9" t="s">
        <v>672</v>
      </c>
      <c r="C579" s="9" t="s">
        <v>695</v>
      </c>
      <c r="D579" s="9" t="s">
        <v>3662</v>
      </c>
      <c r="E579" s="9" t="s">
        <v>3663</v>
      </c>
      <c r="F579" s="9" t="s">
        <v>2509</v>
      </c>
      <c r="G579" s="8">
        <v>4.59</v>
      </c>
      <c r="H579" s="8">
        <v>2.2999999999999998</v>
      </c>
      <c r="I579" s="8" t="s">
        <v>21</v>
      </c>
    </row>
    <row r="580" spans="1:9" ht="12.5">
      <c r="A580" s="20">
        <v>1758626</v>
      </c>
      <c r="B580" s="9" t="s">
        <v>672</v>
      </c>
      <c r="C580" s="9" t="s">
        <v>681</v>
      </c>
      <c r="D580" s="9" t="s">
        <v>3664</v>
      </c>
      <c r="E580" s="9" t="s">
        <v>3665</v>
      </c>
      <c r="F580" s="9" t="s">
        <v>3666</v>
      </c>
      <c r="G580" s="8">
        <v>4.5199999999999996</v>
      </c>
      <c r="H580" s="8">
        <v>1.7</v>
      </c>
      <c r="I580" s="8" t="s">
        <v>21</v>
      </c>
    </row>
    <row r="581" spans="1:9" ht="12.5">
      <c r="A581" s="20">
        <v>1039944</v>
      </c>
      <c r="B581" s="9" t="s">
        <v>672</v>
      </c>
      <c r="C581" s="9" t="s">
        <v>681</v>
      </c>
      <c r="D581" s="9" t="s">
        <v>3667</v>
      </c>
      <c r="E581" s="9" t="s">
        <v>3668</v>
      </c>
      <c r="F581" s="9" t="s">
        <v>3358</v>
      </c>
      <c r="G581" s="8">
        <v>4.5599999999999996</v>
      </c>
      <c r="H581" s="8">
        <v>4.5</v>
      </c>
      <c r="I581" s="8" t="s">
        <v>72</v>
      </c>
    </row>
    <row r="582" spans="1:9" ht="12.5">
      <c r="A582" s="20">
        <v>2164394</v>
      </c>
      <c r="B582" s="9" t="s">
        <v>672</v>
      </c>
      <c r="C582" s="9" t="s">
        <v>677</v>
      </c>
      <c r="D582" s="9" t="s">
        <v>3669</v>
      </c>
      <c r="E582" s="9" t="s">
        <v>3670</v>
      </c>
      <c r="F582" s="9" t="s">
        <v>3671</v>
      </c>
      <c r="G582" s="8">
        <v>4.22</v>
      </c>
      <c r="H582" s="8">
        <v>2.2000000000000002</v>
      </c>
      <c r="I582" s="8" t="s">
        <v>17</v>
      </c>
    </row>
    <row r="583" spans="1:9" ht="12.5">
      <c r="A583" s="20">
        <v>2834076</v>
      </c>
      <c r="B583" s="9" t="s">
        <v>672</v>
      </c>
      <c r="C583" s="9" t="s">
        <v>695</v>
      </c>
      <c r="D583" s="9" t="s">
        <v>3672</v>
      </c>
      <c r="E583" s="9" t="s">
        <v>3673</v>
      </c>
      <c r="F583" s="9" t="s">
        <v>3674</v>
      </c>
      <c r="G583" s="8">
        <v>4.68</v>
      </c>
      <c r="H583" s="8">
        <v>3.1</v>
      </c>
      <c r="I583" s="8" t="s">
        <v>21</v>
      </c>
    </row>
    <row r="584" spans="1:9" ht="12.5">
      <c r="A584" s="20">
        <v>3269564</v>
      </c>
      <c r="B584" s="9" t="s">
        <v>672</v>
      </c>
      <c r="C584" s="9" t="s">
        <v>681</v>
      </c>
      <c r="D584" s="9" t="s">
        <v>3675</v>
      </c>
      <c r="E584" s="9" t="s">
        <v>3676</v>
      </c>
      <c r="F584" s="9" t="s">
        <v>3677</v>
      </c>
      <c r="G584" s="8">
        <v>4.59</v>
      </c>
      <c r="H584" s="8">
        <v>9.9</v>
      </c>
      <c r="I584" s="8" t="s">
        <v>21</v>
      </c>
    </row>
    <row r="585" spans="1:9" ht="12.5">
      <c r="A585" s="20">
        <v>1713640</v>
      </c>
      <c r="B585" s="9" t="s">
        <v>672</v>
      </c>
      <c r="C585" s="9" t="s">
        <v>695</v>
      </c>
      <c r="D585" s="9" t="s">
        <v>3678</v>
      </c>
      <c r="E585" s="9" t="s">
        <v>3679</v>
      </c>
      <c r="F585" s="9" t="s">
        <v>3680</v>
      </c>
      <c r="G585" s="8">
        <v>4.51</v>
      </c>
      <c r="H585" s="8">
        <v>4</v>
      </c>
      <c r="I585" s="8" t="s">
        <v>17</v>
      </c>
    </row>
    <row r="586" spans="1:9" ht="12.5">
      <c r="A586" s="20">
        <v>1698102</v>
      </c>
      <c r="B586" s="9" t="s">
        <v>672</v>
      </c>
      <c r="C586" s="9" t="s">
        <v>695</v>
      </c>
      <c r="D586" s="9" t="s">
        <v>3681</v>
      </c>
      <c r="E586" s="9" t="s">
        <v>3682</v>
      </c>
      <c r="F586" s="9" t="s">
        <v>3680</v>
      </c>
      <c r="G586" s="8">
        <v>4.6100000000000003</v>
      </c>
      <c r="H586" s="8">
        <v>2.9</v>
      </c>
      <c r="I586" s="8" t="s">
        <v>21</v>
      </c>
    </row>
    <row r="587" spans="1:9" ht="12.5">
      <c r="A587" s="20">
        <v>1769856</v>
      </c>
      <c r="B587" s="9" t="s">
        <v>672</v>
      </c>
      <c r="C587" s="9" t="s">
        <v>677</v>
      </c>
      <c r="D587" s="9" t="s">
        <v>3683</v>
      </c>
      <c r="E587" s="9" t="s">
        <v>3684</v>
      </c>
      <c r="F587" s="9" t="s">
        <v>3685</v>
      </c>
      <c r="G587" s="8">
        <v>4.32</v>
      </c>
      <c r="H587" s="8">
        <v>1.3</v>
      </c>
      <c r="I587" s="8" t="s">
        <v>21</v>
      </c>
    </row>
    <row r="588" spans="1:9" ht="12.5">
      <c r="A588" s="20">
        <v>2178810</v>
      </c>
      <c r="B588" s="9" t="s">
        <v>672</v>
      </c>
      <c r="C588" s="9" t="s">
        <v>677</v>
      </c>
      <c r="D588" s="9" t="s">
        <v>3686</v>
      </c>
      <c r="E588" s="9" t="s">
        <v>3687</v>
      </c>
      <c r="F588" s="9" t="s">
        <v>3688</v>
      </c>
      <c r="G588" s="8">
        <v>4.87</v>
      </c>
      <c r="H588" s="8">
        <v>1</v>
      </c>
      <c r="I588" s="8" t="s">
        <v>17</v>
      </c>
    </row>
    <row r="589" spans="1:9" ht="12.5">
      <c r="A589" s="20">
        <v>2285797</v>
      </c>
      <c r="B589" s="9" t="s">
        <v>672</v>
      </c>
      <c r="C589" s="9" t="s">
        <v>695</v>
      </c>
      <c r="D589" s="9" t="s">
        <v>3689</v>
      </c>
      <c r="E589" s="9" t="s">
        <v>3690</v>
      </c>
      <c r="F589" s="9" t="s">
        <v>3691</v>
      </c>
      <c r="G589" s="8">
        <v>4.3899999999999997</v>
      </c>
      <c r="H589" s="8">
        <v>0.9</v>
      </c>
      <c r="I589" s="8" t="s">
        <v>21</v>
      </c>
    </row>
    <row r="590" spans="1:9" ht="12.5">
      <c r="A590" s="20">
        <v>3183136</v>
      </c>
      <c r="B590" s="9" t="s">
        <v>672</v>
      </c>
      <c r="C590" s="9" t="s">
        <v>677</v>
      </c>
      <c r="D590" s="9" t="s">
        <v>3692</v>
      </c>
      <c r="E590" s="9" t="s">
        <v>3693</v>
      </c>
      <c r="F590" s="9" t="s">
        <v>3694</v>
      </c>
      <c r="G590" s="8">
        <v>4.59</v>
      </c>
      <c r="H590" s="8">
        <v>2.9</v>
      </c>
      <c r="I590" s="8" t="s">
        <v>17</v>
      </c>
    </row>
    <row r="591" spans="1:9" ht="12.5">
      <c r="A591" s="20">
        <v>939842</v>
      </c>
      <c r="B591" s="9" t="s">
        <v>672</v>
      </c>
      <c r="C591" s="9" t="s">
        <v>681</v>
      </c>
      <c r="D591" s="9" t="s">
        <v>3695</v>
      </c>
      <c r="E591" s="9" t="s">
        <v>3696</v>
      </c>
      <c r="F591" s="9" t="s">
        <v>3697</v>
      </c>
      <c r="G591" s="8">
        <v>4.37</v>
      </c>
      <c r="H591" s="8">
        <v>3.4</v>
      </c>
      <c r="I591" s="8" t="s">
        <v>21</v>
      </c>
    </row>
    <row r="592" spans="1:9" ht="12.5">
      <c r="A592" s="20">
        <v>2453652</v>
      </c>
      <c r="B592" s="9" t="s">
        <v>672</v>
      </c>
      <c r="C592" s="9" t="s">
        <v>695</v>
      </c>
      <c r="D592" s="9" t="s">
        <v>3698</v>
      </c>
      <c r="E592" s="9" t="s">
        <v>3699</v>
      </c>
      <c r="F592" s="9" t="s">
        <v>3700</v>
      </c>
      <c r="G592" s="8">
        <v>4.63</v>
      </c>
      <c r="H592" s="8">
        <v>1.3</v>
      </c>
      <c r="I592" s="8" t="s">
        <v>72</v>
      </c>
    </row>
    <row r="593" spans="1:9" ht="12.5">
      <c r="A593" s="20">
        <v>2290801</v>
      </c>
      <c r="B593" s="9" t="s">
        <v>672</v>
      </c>
      <c r="C593" s="9" t="s">
        <v>677</v>
      </c>
      <c r="D593" s="9" t="s">
        <v>3701</v>
      </c>
      <c r="E593" s="9" t="s">
        <v>3702</v>
      </c>
      <c r="F593" s="9" t="s">
        <v>3703</v>
      </c>
      <c r="G593" s="8">
        <v>4.7300000000000004</v>
      </c>
      <c r="H593" s="8">
        <v>5.8</v>
      </c>
      <c r="I593" s="8" t="s">
        <v>21</v>
      </c>
    </row>
    <row r="594" spans="1:9" ht="12.5">
      <c r="A594" s="20">
        <v>951836</v>
      </c>
      <c r="B594" s="9" t="s">
        <v>672</v>
      </c>
      <c r="C594" s="9" t="s">
        <v>695</v>
      </c>
      <c r="D594" s="9" t="s">
        <v>3704</v>
      </c>
      <c r="E594" s="9" t="s">
        <v>3705</v>
      </c>
      <c r="F594" s="9" t="s">
        <v>3706</v>
      </c>
      <c r="G594" s="8">
        <v>4.47</v>
      </c>
      <c r="H594" s="8">
        <v>7.8</v>
      </c>
      <c r="I594" s="8" t="s">
        <v>21</v>
      </c>
    </row>
    <row r="595" spans="1:9" ht="12.5">
      <c r="A595" s="20">
        <v>3040276</v>
      </c>
      <c r="B595" s="9" t="s">
        <v>672</v>
      </c>
      <c r="C595" s="9" t="s">
        <v>673</v>
      </c>
      <c r="D595" s="9" t="s">
        <v>3707</v>
      </c>
      <c r="E595" s="9" t="s">
        <v>3708</v>
      </c>
      <c r="F595" s="9" t="s">
        <v>3677</v>
      </c>
      <c r="G595" s="8">
        <v>4.63</v>
      </c>
      <c r="H595" s="8">
        <v>5.3</v>
      </c>
      <c r="I595" s="8" t="s">
        <v>21</v>
      </c>
    </row>
    <row r="596" spans="1:9" ht="12.5">
      <c r="A596" s="20">
        <v>1501550</v>
      </c>
      <c r="B596" s="9" t="s">
        <v>672</v>
      </c>
      <c r="C596" s="9" t="s">
        <v>673</v>
      </c>
      <c r="D596" s="9" t="s">
        <v>3709</v>
      </c>
      <c r="E596" s="9" t="s">
        <v>3710</v>
      </c>
      <c r="F596" s="9" t="s">
        <v>3711</v>
      </c>
      <c r="G596" s="8">
        <v>4.42</v>
      </c>
      <c r="H596" s="8">
        <v>1</v>
      </c>
      <c r="I596" s="8" t="s">
        <v>17</v>
      </c>
    </row>
    <row r="597" spans="1:9" ht="12.5">
      <c r="A597" s="20">
        <v>2266212</v>
      </c>
      <c r="B597" s="9" t="s">
        <v>672</v>
      </c>
      <c r="C597" s="9" t="s">
        <v>677</v>
      </c>
      <c r="D597" s="9" t="s">
        <v>3712</v>
      </c>
      <c r="E597" s="9" t="s">
        <v>3713</v>
      </c>
      <c r="F597" s="9" t="s">
        <v>3714</v>
      </c>
      <c r="G597" s="8">
        <v>4.3099999999999996</v>
      </c>
      <c r="H597" s="8">
        <v>10</v>
      </c>
      <c r="I597" s="8" t="s">
        <v>17</v>
      </c>
    </row>
    <row r="598" spans="1:9" ht="12.5">
      <c r="A598" s="20">
        <v>1649658</v>
      </c>
      <c r="B598" s="9" t="s">
        <v>672</v>
      </c>
      <c r="C598" s="9" t="s">
        <v>695</v>
      </c>
      <c r="D598" s="9" t="s">
        <v>3715</v>
      </c>
      <c r="E598" s="9" t="s">
        <v>3716</v>
      </c>
      <c r="F598" s="9" t="s">
        <v>3717</v>
      </c>
      <c r="G598" s="8">
        <v>4.16</v>
      </c>
      <c r="H598" s="8">
        <v>11.2</v>
      </c>
      <c r="I598" s="8" t="s">
        <v>21</v>
      </c>
    </row>
    <row r="599" spans="1:9" ht="12.5">
      <c r="A599" s="20">
        <v>2285643</v>
      </c>
      <c r="B599" s="9" t="s">
        <v>672</v>
      </c>
      <c r="C599" s="9" t="s">
        <v>681</v>
      </c>
      <c r="D599" s="9" t="s">
        <v>3718</v>
      </c>
      <c r="E599" s="9" t="s">
        <v>3719</v>
      </c>
      <c r="F599" s="9" t="s">
        <v>3720</v>
      </c>
      <c r="G599" s="8">
        <v>4.37</v>
      </c>
      <c r="H599" s="8">
        <v>16.100000000000001</v>
      </c>
      <c r="I599" s="8" t="s">
        <v>21</v>
      </c>
    </row>
    <row r="600" spans="1:9" ht="12.5">
      <c r="A600" s="20">
        <v>2413734</v>
      </c>
      <c r="B600" s="9" t="s">
        <v>672</v>
      </c>
      <c r="C600" s="9" t="s">
        <v>677</v>
      </c>
      <c r="D600" s="9" t="s">
        <v>3721</v>
      </c>
      <c r="E600" s="9" t="s">
        <v>3722</v>
      </c>
      <c r="F600" s="9" t="s">
        <v>3723</v>
      </c>
      <c r="G600" s="8">
        <v>4.5599999999999996</v>
      </c>
      <c r="H600" s="8">
        <v>1.3</v>
      </c>
      <c r="I600" s="8" t="s">
        <v>17</v>
      </c>
    </row>
    <row r="601" spans="1:9" ht="12.5">
      <c r="A601" s="20">
        <v>1795516</v>
      </c>
      <c r="B601" s="9" t="s">
        <v>672</v>
      </c>
      <c r="C601" s="9" t="s">
        <v>677</v>
      </c>
      <c r="D601" s="9" t="s">
        <v>3724</v>
      </c>
      <c r="E601" s="9" t="s">
        <v>3725</v>
      </c>
      <c r="F601" s="9" t="s">
        <v>3726</v>
      </c>
      <c r="G601" s="8">
        <v>4.71</v>
      </c>
      <c r="H601" s="8">
        <v>1.8</v>
      </c>
      <c r="I601" s="8" t="s">
        <v>21</v>
      </c>
    </row>
    <row r="602" spans="1:9" ht="12.5">
      <c r="A602" s="20">
        <v>3207549</v>
      </c>
      <c r="B602" s="9" t="s">
        <v>672</v>
      </c>
      <c r="C602" s="9" t="s">
        <v>677</v>
      </c>
      <c r="D602" s="9" t="s">
        <v>3727</v>
      </c>
      <c r="E602" s="9" t="s">
        <v>3728</v>
      </c>
      <c r="F602" s="9" t="s">
        <v>3729</v>
      </c>
      <c r="G602" s="8">
        <v>4.53</v>
      </c>
      <c r="H602" s="8">
        <v>8.5</v>
      </c>
      <c r="I602" s="8" t="s">
        <v>21</v>
      </c>
    </row>
    <row r="603" spans="1:9" ht="12.5">
      <c r="A603" s="20">
        <v>801218</v>
      </c>
      <c r="B603" s="9" t="s">
        <v>672</v>
      </c>
      <c r="C603" s="9" t="s">
        <v>695</v>
      </c>
      <c r="D603" s="9" t="s">
        <v>3730</v>
      </c>
      <c r="E603" s="9" t="s">
        <v>3731</v>
      </c>
      <c r="F603" s="9" t="s">
        <v>3732</v>
      </c>
      <c r="G603" s="8">
        <v>4.32</v>
      </c>
      <c r="H603" s="8">
        <v>1.8</v>
      </c>
      <c r="I603" s="8" t="s">
        <v>21</v>
      </c>
    </row>
    <row r="604" spans="1:9" ht="12.5">
      <c r="A604" s="20">
        <v>685304</v>
      </c>
      <c r="B604" s="9" t="s">
        <v>672</v>
      </c>
      <c r="C604" s="9" t="s">
        <v>677</v>
      </c>
      <c r="D604" s="9" t="s">
        <v>3733</v>
      </c>
      <c r="E604" s="9" t="s">
        <v>3734</v>
      </c>
      <c r="F604" s="9" t="s">
        <v>3358</v>
      </c>
      <c r="G604" s="8">
        <v>4.5199999999999996</v>
      </c>
      <c r="H604" s="8">
        <v>3.1</v>
      </c>
      <c r="I604" s="8" t="s">
        <v>21</v>
      </c>
    </row>
    <row r="605" spans="1:9" ht="12.5">
      <c r="A605" s="20">
        <v>2996966</v>
      </c>
      <c r="B605" s="9" t="s">
        <v>672</v>
      </c>
      <c r="C605" s="9" t="s">
        <v>677</v>
      </c>
      <c r="D605" s="9" t="s">
        <v>3735</v>
      </c>
      <c r="E605" s="9" t="s">
        <v>3736</v>
      </c>
      <c r="F605" s="9" t="s">
        <v>3737</v>
      </c>
      <c r="G605" s="8">
        <v>4.5999999999999996</v>
      </c>
      <c r="H605" s="8">
        <v>1</v>
      </c>
      <c r="I605" s="8" t="s">
        <v>21</v>
      </c>
    </row>
    <row r="606" spans="1:9" ht="12.5">
      <c r="A606" s="20">
        <v>3126206</v>
      </c>
      <c r="B606" s="9" t="s">
        <v>672</v>
      </c>
      <c r="C606" s="9" t="s">
        <v>695</v>
      </c>
      <c r="D606" s="9" t="s">
        <v>3738</v>
      </c>
      <c r="E606" s="9" t="s">
        <v>3739</v>
      </c>
      <c r="F606" s="9" t="s">
        <v>3740</v>
      </c>
      <c r="G606" s="8">
        <v>4.49</v>
      </c>
      <c r="H606" s="8">
        <v>1.8</v>
      </c>
      <c r="I606" s="8" t="s">
        <v>21</v>
      </c>
    </row>
    <row r="607" spans="1:9" ht="12.5">
      <c r="A607" s="20">
        <v>1780364</v>
      </c>
      <c r="B607" s="9" t="s">
        <v>672</v>
      </c>
      <c r="C607" s="9" t="s">
        <v>677</v>
      </c>
      <c r="D607" s="9" t="s">
        <v>3741</v>
      </c>
      <c r="E607" s="9" t="s">
        <v>3742</v>
      </c>
      <c r="F607" s="9" t="s">
        <v>3743</v>
      </c>
      <c r="G607" s="8">
        <v>4.75</v>
      </c>
      <c r="H607" s="8">
        <v>2.2000000000000002</v>
      </c>
      <c r="I607" s="8" t="s">
        <v>17</v>
      </c>
    </row>
    <row r="608" spans="1:9" ht="12.5">
      <c r="A608" s="20">
        <v>1876670</v>
      </c>
      <c r="B608" s="9" t="s">
        <v>672</v>
      </c>
      <c r="C608" s="9" t="s">
        <v>681</v>
      </c>
      <c r="D608" s="9" t="s">
        <v>3744</v>
      </c>
      <c r="E608" s="9" t="s">
        <v>3745</v>
      </c>
      <c r="F608" s="9" t="s">
        <v>3746</v>
      </c>
      <c r="G608" s="8">
        <v>3.94</v>
      </c>
      <c r="H608" s="8">
        <v>8.9</v>
      </c>
      <c r="I608" s="8" t="s">
        <v>21</v>
      </c>
    </row>
    <row r="609" spans="1:9" ht="12.5">
      <c r="A609" s="20">
        <v>2561378</v>
      </c>
      <c r="B609" s="9" t="s">
        <v>672</v>
      </c>
      <c r="C609" s="9" t="s">
        <v>695</v>
      </c>
      <c r="D609" s="9" t="s">
        <v>3747</v>
      </c>
      <c r="E609" s="9" t="s">
        <v>3748</v>
      </c>
      <c r="F609" s="9" t="s">
        <v>3749</v>
      </c>
      <c r="G609" s="8">
        <v>4.51</v>
      </c>
      <c r="H609" s="8">
        <v>1.7</v>
      </c>
      <c r="I609" s="8" t="s">
        <v>72</v>
      </c>
    </row>
    <row r="610" spans="1:9" ht="12.5">
      <c r="A610" s="20">
        <v>968264</v>
      </c>
      <c r="B610" s="9" t="s">
        <v>672</v>
      </c>
      <c r="C610" s="9" t="s">
        <v>673</v>
      </c>
      <c r="D610" s="9" t="s">
        <v>3750</v>
      </c>
      <c r="E610" s="9" t="s">
        <v>3751</v>
      </c>
      <c r="F610" s="9" t="s">
        <v>3752</v>
      </c>
      <c r="G610" s="8">
        <v>4.68</v>
      </c>
      <c r="H610" s="8">
        <v>2.5</v>
      </c>
      <c r="I610" s="8" t="s">
        <v>17</v>
      </c>
    </row>
    <row r="611" spans="1:9" ht="12.5">
      <c r="A611" s="20">
        <v>2509276</v>
      </c>
      <c r="B611" s="9" t="s">
        <v>672</v>
      </c>
      <c r="C611" s="9" t="s">
        <v>681</v>
      </c>
      <c r="D611" s="9" t="s">
        <v>3753</v>
      </c>
      <c r="E611" s="9" t="s">
        <v>3754</v>
      </c>
      <c r="F611" s="9" t="s">
        <v>3755</v>
      </c>
      <c r="G611" s="8">
        <v>4.42</v>
      </c>
      <c r="H611" s="8">
        <v>1.5</v>
      </c>
      <c r="I611" s="8" t="s">
        <v>21</v>
      </c>
    </row>
    <row r="612" spans="1:9" ht="12.5">
      <c r="A612" s="20">
        <v>2633684</v>
      </c>
      <c r="B612" s="9" t="s">
        <v>672</v>
      </c>
      <c r="C612" s="9" t="s">
        <v>677</v>
      </c>
      <c r="D612" s="9" t="s">
        <v>3756</v>
      </c>
      <c r="E612" s="9" t="s">
        <v>3757</v>
      </c>
      <c r="F612" s="9" t="s">
        <v>3758</v>
      </c>
      <c r="G612" s="8">
        <v>4.74</v>
      </c>
      <c r="H612" s="8">
        <v>1.1000000000000001</v>
      </c>
      <c r="I612" s="8" t="s">
        <v>17</v>
      </c>
    </row>
    <row r="613" spans="1:9" ht="12.5">
      <c r="A613" s="20">
        <v>2829082</v>
      </c>
      <c r="B613" s="9" t="s">
        <v>672</v>
      </c>
      <c r="C613" s="9" t="s">
        <v>677</v>
      </c>
      <c r="D613" s="9" t="s">
        <v>3759</v>
      </c>
      <c r="E613" s="9" t="s">
        <v>3760</v>
      </c>
      <c r="F613" s="9" t="s">
        <v>3761</v>
      </c>
      <c r="G613" s="8">
        <v>4.67</v>
      </c>
      <c r="H613" s="8">
        <v>4</v>
      </c>
      <c r="I613" s="8" t="s">
        <v>21</v>
      </c>
    </row>
    <row r="614" spans="1:9" ht="12.5">
      <c r="A614" s="20">
        <v>679952</v>
      </c>
      <c r="B614" s="9" t="s">
        <v>672</v>
      </c>
      <c r="C614" s="9" t="s">
        <v>695</v>
      </c>
      <c r="D614" s="9" t="s">
        <v>3762</v>
      </c>
      <c r="E614" s="9" t="s">
        <v>3763</v>
      </c>
      <c r="F614" s="9" t="s">
        <v>3764</v>
      </c>
      <c r="G614" s="8">
        <v>4.4800000000000004</v>
      </c>
      <c r="H614" s="8">
        <v>2</v>
      </c>
      <c r="I614" s="8" t="s">
        <v>17</v>
      </c>
    </row>
    <row r="615" spans="1:9" ht="12.5">
      <c r="A615" s="20">
        <v>1663412</v>
      </c>
      <c r="B615" s="9" t="s">
        <v>672</v>
      </c>
      <c r="C615" s="9" t="s">
        <v>677</v>
      </c>
      <c r="D615" s="9" t="s">
        <v>3765</v>
      </c>
      <c r="E615" s="9" t="s">
        <v>3766</v>
      </c>
      <c r="F615" s="9" t="s">
        <v>3767</v>
      </c>
      <c r="G615" s="8">
        <v>4.58</v>
      </c>
      <c r="H615" s="8">
        <v>6.4</v>
      </c>
      <c r="I615" s="8" t="s">
        <v>72</v>
      </c>
    </row>
    <row r="616" spans="1:9" ht="12.5">
      <c r="A616" s="20">
        <v>2153186</v>
      </c>
      <c r="B616" s="9" t="s">
        <v>672</v>
      </c>
      <c r="C616" s="9" t="s">
        <v>677</v>
      </c>
      <c r="D616" s="9" t="s">
        <v>3768</v>
      </c>
      <c r="E616" s="9" t="s">
        <v>3769</v>
      </c>
      <c r="F616" s="9" t="s">
        <v>3770</v>
      </c>
      <c r="G616" s="8">
        <v>4.54</v>
      </c>
      <c r="H616" s="8">
        <v>1</v>
      </c>
      <c r="I616" s="8" t="s">
        <v>17</v>
      </c>
    </row>
    <row r="617" spans="1:9" ht="12.5">
      <c r="A617" s="20">
        <v>2303976</v>
      </c>
      <c r="B617" s="9" t="s">
        <v>672</v>
      </c>
      <c r="C617" s="9" t="s">
        <v>681</v>
      </c>
      <c r="D617" s="9" t="s">
        <v>3771</v>
      </c>
      <c r="E617" s="9" t="s">
        <v>3772</v>
      </c>
      <c r="F617" s="9" t="s">
        <v>3773</v>
      </c>
      <c r="G617" s="8">
        <v>4.7</v>
      </c>
      <c r="H617" s="8">
        <v>1.8</v>
      </c>
      <c r="I617" s="8" t="s">
        <v>17</v>
      </c>
    </row>
    <row r="618" spans="1:9" ht="12.5">
      <c r="A618" s="20">
        <v>2797158</v>
      </c>
      <c r="B618" s="9" t="s">
        <v>672</v>
      </c>
      <c r="C618" s="9" t="s">
        <v>677</v>
      </c>
      <c r="D618" s="9" t="s">
        <v>3774</v>
      </c>
      <c r="E618" s="9" t="s">
        <v>3775</v>
      </c>
      <c r="F618" s="9" t="s">
        <v>3776</v>
      </c>
      <c r="G618" s="8">
        <v>4.66</v>
      </c>
      <c r="H618" s="8">
        <v>1.4</v>
      </c>
      <c r="I618" s="8" t="s">
        <v>17</v>
      </c>
    </row>
    <row r="619" spans="1:9" ht="12.5">
      <c r="A619" s="20">
        <v>1235914</v>
      </c>
      <c r="B619" s="9" t="s">
        <v>672</v>
      </c>
      <c r="C619" s="9" t="s">
        <v>681</v>
      </c>
      <c r="D619" s="9" t="s">
        <v>3777</v>
      </c>
      <c r="E619" s="9" t="s">
        <v>3778</v>
      </c>
      <c r="F619" s="9" t="s">
        <v>3779</v>
      </c>
      <c r="G619" s="8">
        <v>4.62</v>
      </c>
      <c r="H619" s="8">
        <v>0.5</v>
      </c>
      <c r="I619" s="8" t="s">
        <v>21</v>
      </c>
    </row>
    <row r="620" spans="1:9" ht="12.5">
      <c r="A620" s="20">
        <v>1694356</v>
      </c>
      <c r="B620" s="9" t="s">
        <v>672</v>
      </c>
      <c r="C620" s="9" t="s">
        <v>695</v>
      </c>
      <c r="D620" s="9" t="s">
        <v>3780</v>
      </c>
      <c r="E620" s="9" t="s">
        <v>3781</v>
      </c>
      <c r="F620" s="9" t="s">
        <v>3782</v>
      </c>
      <c r="G620" s="8">
        <v>4.53</v>
      </c>
      <c r="H620" s="8">
        <v>4.7</v>
      </c>
      <c r="I620" s="8" t="s">
        <v>21</v>
      </c>
    </row>
    <row r="621" spans="1:9" ht="12.5">
      <c r="A621" s="20">
        <v>1854772</v>
      </c>
      <c r="B621" s="9" t="s">
        <v>672</v>
      </c>
      <c r="C621" s="9" t="s">
        <v>677</v>
      </c>
      <c r="D621" s="9" t="s">
        <v>3783</v>
      </c>
      <c r="E621" s="9" t="s">
        <v>3784</v>
      </c>
      <c r="F621" s="9" t="s">
        <v>3785</v>
      </c>
      <c r="G621" s="8">
        <v>4.8600000000000003</v>
      </c>
      <c r="H621" s="8">
        <v>2</v>
      </c>
      <c r="I621" s="8" t="s">
        <v>17</v>
      </c>
    </row>
    <row r="622" spans="1:9" ht="12.5">
      <c r="A622" s="20">
        <v>2166960</v>
      </c>
      <c r="B622" s="9" t="s">
        <v>672</v>
      </c>
      <c r="C622" s="9" t="s">
        <v>677</v>
      </c>
      <c r="D622" s="9" t="s">
        <v>3786</v>
      </c>
      <c r="E622" s="9" t="s">
        <v>3787</v>
      </c>
      <c r="F622" s="9" t="s">
        <v>3788</v>
      </c>
      <c r="G622" s="8">
        <v>4.4800000000000004</v>
      </c>
      <c r="H622" s="8">
        <v>6.6</v>
      </c>
      <c r="I622" s="8" t="s">
        <v>17</v>
      </c>
    </row>
    <row r="623" spans="1:9" ht="12.5">
      <c r="A623" s="20">
        <v>2434994</v>
      </c>
      <c r="B623" s="9" t="s">
        <v>672</v>
      </c>
      <c r="C623" s="9" t="s">
        <v>677</v>
      </c>
      <c r="D623" s="9" t="s">
        <v>3789</v>
      </c>
      <c r="E623" s="9" t="s">
        <v>3790</v>
      </c>
      <c r="F623" s="9" t="s">
        <v>3791</v>
      </c>
      <c r="G623" s="8">
        <v>4.58</v>
      </c>
      <c r="H623" s="8">
        <v>1.1000000000000001</v>
      </c>
      <c r="I623" s="8" t="s">
        <v>17</v>
      </c>
    </row>
    <row r="624" spans="1:9" ht="12.5">
      <c r="A624" s="20">
        <v>1684832</v>
      </c>
      <c r="B624" s="9" t="s">
        <v>768</v>
      </c>
      <c r="C624" s="9" t="s">
        <v>772</v>
      </c>
      <c r="D624" s="9" t="s">
        <v>3792</v>
      </c>
      <c r="E624" s="9" t="s">
        <v>3793</v>
      </c>
      <c r="F624" s="9" t="s">
        <v>2378</v>
      </c>
      <c r="G624" s="8">
        <v>4.54</v>
      </c>
      <c r="H624" s="8">
        <v>28</v>
      </c>
      <c r="I624" s="8" t="s">
        <v>21</v>
      </c>
    </row>
    <row r="625" spans="1:9" ht="12.5">
      <c r="A625" s="20">
        <v>1654366</v>
      </c>
      <c r="B625" s="9" t="s">
        <v>768</v>
      </c>
      <c r="C625" s="9" t="s">
        <v>769</v>
      </c>
      <c r="D625" s="9" t="s">
        <v>3794</v>
      </c>
      <c r="E625" s="9" t="s">
        <v>3795</v>
      </c>
      <c r="F625" s="9" t="s">
        <v>2378</v>
      </c>
      <c r="G625" s="8">
        <v>4.54</v>
      </c>
      <c r="H625" s="8">
        <v>7.4</v>
      </c>
      <c r="I625" s="8" t="s">
        <v>21</v>
      </c>
    </row>
    <row r="626" spans="1:9" ht="12.5">
      <c r="A626" s="20">
        <v>731434</v>
      </c>
      <c r="B626" s="9" t="s">
        <v>768</v>
      </c>
      <c r="C626" s="9" t="s">
        <v>827</v>
      </c>
      <c r="D626" s="9" t="s">
        <v>3796</v>
      </c>
      <c r="E626" s="9" t="s">
        <v>3797</v>
      </c>
      <c r="F626" s="9" t="s">
        <v>3700</v>
      </c>
      <c r="G626" s="8">
        <v>4.55</v>
      </c>
      <c r="H626" s="8">
        <v>8</v>
      </c>
      <c r="I626" s="8" t="s">
        <v>72</v>
      </c>
    </row>
    <row r="627" spans="1:9" ht="12.5">
      <c r="A627" s="20">
        <v>1508940</v>
      </c>
      <c r="B627" s="9" t="s">
        <v>768</v>
      </c>
      <c r="C627" s="9" t="s">
        <v>786</v>
      </c>
      <c r="D627" s="9" t="s">
        <v>3798</v>
      </c>
      <c r="E627" s="9" t="s">
        <v>3798</v>
      </c>
      <c r="F627" s="9" t="s">
        <v>3799</v>
      </c>
      <c r="G627" s="8">
        <v>4.57</v>
      </c>
      <c r="H627" s="8">
        <v>15.5</v>
      </c>
      <c r="I627" s="8" t="s">
        <v>21</v>
      </c>
    </row>
    <row r="628" spans="1:9" ht="12.5">
      <c r="A628" s="20">
        <v>1559166</v>
      </c>
      <c r="B628" s="9" t="s">
        <v>768</v>
      </c>
      <c r="C628" s="9" t="s">
        <v>827</v>
      </c>
      <c r="D628" s="9" t="s">
        <v>3800</v>
      </c>
      <c r="E628" s="9" t="s">
        <v>3801</v>
      </c>
      <c r="F628" s="9" t="s">
        <v>3802</v>
      </c>
      <c r="G628" s="8">
        <v>4.51</v>
      </c>
      <c r="H628" s="8">
        <v>2.4</v>
      </c>
      <c r="I628" s="8" t="s">
        <v>17</v>
      </c>
    </row>
    <row r="629" spans="1:9" ht="12.5">
      <c r="A629" s="20">
        <v>1748906</v>
      </c>
      <c r="B629" s="9" t="s">
        <v>768</v>
      </c>
      <c r="C629" s="9" t="s">
        <v>772</v>
      </c>
      <c r="D629" s="9" t="s">
        <v>3803</v>
      </c>
      <c r="E629" s="9" t="s">
        <v>3804</v>
      </c>
      <c r="F629" s="9" t="s">
        <v>3805</v>
      </c>
      <c r="G629" s="8">
        <v>4.43</v>
      </c>
      <c r="H629" s="8">
        <v>3.1</v>
      </c>
      <c r="I629" s="8" t="s">
        <v>17</v>
      </c>
    </row>
    <row r="630" spans="1:9" ht="12.5">
      <c r="A630" s="20">
        <v>3114406</v>
      </c>
      <c r="B630" s="9" t="s">
        <v>768</v>
      </c>
      <c r="C630" s="9" t="s">
        <v>820</v>
      </c>
      <c r="D630" s="9" t="s">
        <v>3806</v>
      </c>
      <c r="E630" s="9" t="s">
        <v>3807</v>
      </c>
      <c r="F630" s="9" t="s">
        <v>2378</v>
      </c>
      <c r="G630" s="8">
        <v>4.78</v>
      </c>
      <c r="H630" s="8">
        <v>2.1</v>
      </c>
      <c r="I630" s="8" t="s">
        <v>21</v>
      </c>
    </row>
    <row r="631" spans="1:9" ht="12.5">
      <c r="A631" s="20">
        <v>1376312</v>
      </c>
      <c r="B631" s="9" t="s">
        <v>768</v>
      </c>
      <c r="C631" s="9" t="s">
        <v>769</v>
      </c>
      <c r="D631" s="9" t="s">
        <v>3808</v>
      </c>
      <c r="E631" s="9" t="s">
        <v>3809</v>
      </c>
      <c r="F631" s="9" t="s">
        <v>3810</v>
      </c>
      <c r="G631" s="8">
        <v>4.57</v>
      </c>
      <c r="H631" s="8">
        <v>3.8</v>
      </c>
      <c r="I631" s="8" t="s">
        <v>21</v>
      </c>
    </row>
    <row r="632" spans="1:9" ht="12.5">
      <c r="A632" s="20">
        <v>967528</v>
      </c>
      <c r="B632" s="9" t="s">
        <v>768</v>
      </c>
      <c r="C632" s="9" t="s">
        <v>786</v>
      </c>
      <c r="D632" s="9" t="s">
        <v>3811</v>
      </c>
      <c r="E632" s="9" t="s">
        <v>3812</v>
      </c>
      <c r="F632" s="9" t="s">
        <v>2378</v>
      </c>
      <c r="G632" s="8">
        <v>4.55</v>
      </c>
      <c r="H632" s="8">
        <v>4.9000000000000004</v>
      </c>
      <c r="I632" s="8" t="s">
        <v>21</v>
      </c>
    </row>
    <row r="633" spans="1:9" ht="12.5">
      <c r="A633" s="20">
        <v>2336106</v>
      </c>
      <c r="B633" s="9" t="s">
        <v>768</v>
      </c>
      <c r="C633" s="9" t="s">
        <v>769</v>
      </c>
      <c r="D633" s="9" t="s">
        <v>3813</v>
      </c>
      <c r="E633" s="9" t="s">
        <v>3814</v>
      </c>
      <c r="F633" s="9" t="s">
        <v>3799</v>
      </c>
      <c r="G633" s="8">
        <v>4.57</v>
      </c>
      <c r="H633" s="8">
        <v>12.1</v>
      </c>
      <c r="I633" s="8" t="s">
        <v>21</v>
      </c>
    </row>
    <row r="634" spans="1:9" ht="12.5">
      <c r="A634" s="20">
        <v>855368</v>
      </c>
      <c r="B634" s="9" t="s">
        <v>768</v>
      </c>
      <c r="C634" s="9" t="s">
        <v>776</v>
      </c>
      <c r="D634" s="9" t="s">
        <v>3815</v>
      </c>
      <c r="E634" s="9" t="s">
        <v>3816</v>
      </c>
      <c r="F634" s="9" t="s">
        <v>3817</v>
      </c>
      <c r="G634" s="8">
        <v>4.4000000000000004</v>
      </c>
      <c r="H634" s="8">
        <v>4.8</v>
      </c>
      <c r="I634" s="8" t="s">
        <v>21</v>
      </c>
    </row>
    <row r="635" spans="1:9" ht="12.5">
      <c r="A635" s="20">
        <v>2148686</v>
      </c>
      <c r="B635" s="9" t="s">
        <v>768</v>
      </c>
      <c r="C635" s="9" t="s">
        <v>827</v>
      </c>
      <c r="D635" s="9" t="s">
        <v>3818</v>
      </c>
      <c r="E635" s="9" t="s">
        <v>3819</v>
      </c>
      <c r="F635" s="9" t="s">
        <v>3820</v>
      </c>
      <c r="G635" s="8">
        <v>4.51</v>
      </c>
      <c r="H635" s="8">
        <v>1.3</v>
      </c>
      <c r="I635" s="8" t="s">
        <v>17</v>
      </c>
    </row>
    <row r="636" spans="1:9" ht="12.5">
      <c r="A636" s="20">
        <v>1707576</v>
      </c>
      <c r="B636" s="9" t="s">
        <v>768</v>
      </c>
      <c r="C636" s="9" t="s">
        <v>786</v>
      </c>
      <c r="D636" s="9" t="s">
        <v>3821</v>
      </c>
      <c r="E636" s="9" t="s">
        <v>3822</v>
      </c>
      <c r="F636" s="9" t="s">
        <v>2388</v>
      </c>
      <c r="G636" s="8">
        <v>4.5599999999999996</v>
      </c>
      <c r="H636" s="8">
        <v>16.600000000000001</v>
      </c>
      <c r="I636" s="8" t="s">
        <v>21</v>
      </c>
    </row>
    <row r="637" spans="1:9" ht="12.5">
      <c r="A637" s="20">
        <v>1897422</v>
      </c>
      <c r="B637" s="9" t="s">
        <v>768</v>
      </c>
      <c r="C637" s="9" t="s">
        <v>776</v>
      </c>
      <c r="D637" s="9" t="s">
        <v>3823</v>
      </c>
      <c r="E637" s="9" t="s">
        <v>3824</v>
      </c>
      <c r="F637" s="9" t="s">
        <v>2581</v>
      </c>
      <c r="G637" s="8">
        <v>4.5199999999999996</v>
      </c>
      <c r="H637" s="8">
        <v>2</v>
      </c>
      <c r="I637" s="8" t="s">
        <v>17</v>
      </c>
    </row>
    <row r="638" spans="1:9" ht="12.5">
      <c r="A638" s="20">
        <v>2197486</v>
      </c>
      <c r="B638" s="9" t="s">
        <v>768</v>
      </c>
      <c r="C638" s="9" t="s">
        <v>786</v>
      </c>
      <c r="D638" s="9" t="s">
        <v>3825</v>
      </c>
      <c r="E638" s="9" t="s">
        <v>3826</v>
      </c>
      <c r="F638" s="9" t="s">
        <v>3827</v>
      </c>
      <c r="G638" s="8">
        <v>4.53</v>
      </c>
      <c r="H638" s="8">
        <v>6.5</v>
      </c>
      <c r="I638" s="8" t="s">
        <v>21</v>
      </c>
    </row>
    <row r="639" spans="1:9" ht="12.5">
      <c r="A639" s="20">
        <v>3131562</v>
      </c>
      <c r="B639" s="9" t="s">
        <v>768</v>
      </c>
      <c r="C639" s="9" t="s">
        <v>772</v>
      </c>
      <c r="D639" s="9" t="s">
        <v>3828</v>
      </c>
      <c r="E639" s="9" t="s">
        <v>3829</v>
      </c>
      <c r="F639" s="9" t="s">
        <v>3827</v>
      </c>
      <c r="G639" s="8">
        <v>4.53</v>
      </c>
      <c r="H639" s="8">
        <v>4.5</v>
      </c>
      <c r="I639" s="8" t="s">
        <v>21</v>
      </c>
    </row>
    <row r="640" spans="1:9" ht="12.5">
      <c r="A640" s="20">
        <v>2445446</v>
      </c>
      <c r="B640" s="9" t="s">
        <v>768</v>
      </c>
      <c r="C640" s="9" t="s">
        <v>795</v>
      </c>
      <c r="D640" s="9" t="s">
        <v>3830</v>
      </c>
      <c r="E640" s="9" t="s">
        <v>3831</v>
      </c>
      <c r="F640" s="9" t="s">
        <v>3410</v>
      </c>
      <c r="G640" s="8">
        <v>4.45</v>
      </c>
      <c r="H640" s="8">
        <v>1.4</v>
      </c>
      <c r="I640" s="8" t="s">
        <v>72</v>
      </c>
    </row>
    <row r="641" spans="1:9" ht="12.5">
      <c r="A641" s="20">
        <v>2569532</v>
      </c>
      <c r="B641" s="9" t="s">
        <v>768</v>
      </c>
      <c r="C641" s="9" t="s">
        <v>772</v>
      </c>
      <c r="D641" s="9" t="s">
        <v>3832</v>
      </c>
      <c r="E641" s="9" t="s">
        <v>3833</v>
      </c>
      <c r="F641" s="9" t="s">
        <v>2557</v>
      </c>
      <c r="G641" s="8">
        <v>4.3899999999999997</v>
      </c>
      <c r="H641" s="8">
        <v>4.9000000000000004</v>
      </c>
      <c r="I641" s="8" t="s">
        <v>21</v>
      </c>
    </row>
    <row r="642" spans="1:9" ht="12.5">
      <c r="A642" s="20">
        <v>665364</v>
      </c>
      <c r="B642" s="9" t="s">
        <v>768</v>
      </c>
      <c r="C642" s="9" t="s">
        <v>820</v>
      </c>
      <c r="D642" s="9" t="s">
        <v>3834</v>
      </c>
      <c r="E642" s="9" t="s">
        <v>3835</v>
      </c>
      <c r="F642" s="9" t="s">
        <v>2378</v>
      </c>
      <c r="G642" s="8">
        <v>4.21</v>
      </c>
      <c r="H642" s="8">
        <v>1.7</v>
      </c>
      <c r="I642" s="8" t="s">
        <v>21</v>
      </c>
    </row>
    <row r="643" spans="1:9" ht="12.5">
      <c r="A643" s="20">
        <v>2014966</v>
      </c>
      <c r="B643" s="9" t="s">
        <v>768</v>
      </c>
      <c r="C643" s="9" t="s">
        <v>792</v>
      </c>
      <c r="D643" s="9" t="s">
        <v>3836</v>
      </c>
      <c r="E643" s="9" t="s">
        <v>3837</v>
      </c>
      <c r="F643" s="9" t="s">
        <v>2557</v>
      </c>
      <c r="G643" s="8">
        <v>4.22</v>
      </c>
      <c r="H643" s="8">
        <v>2.1</v>
      </c>
      <c r="I643" s="8" t="s">
        <v>21</v>
      </c>
    </row>
    <row r="644" spans="1:9" ht="12.5">
      <c r="A644" s="20">
        <v>2110806</v>
      </c>
      <c r="B644" s="9" t="s">
        <v>768</v>
      </c>
      <c r="C644" s="9" t="s">
        <v>827</v>
      </c>
      <c r="D644" s="9" t="s">
        <v>3838</v>
      </c>
      <c r="E644" s="9" t="s">
        <v>3839</v>
      </c>
      <c r="F644" s="9" t="s">
        <v>3782</v>
      </c>
      <c r="G644" s="8">
        <v>4.4800000000000004</v>
      </c>
      <c r="H644" s="8">
        <v>5.5</v>
      </c>
      <c r="I644" s="8" t="s">
        <v>21</v>
      </c>
    </row>
    <row r="645" spans="1:9" ht="12.5">
      <c r="A645" s="20">
        <v>2368808</v>
      </c>
      <c r="B645" s="9" t="s">
        <v>768</v>
      </c>
      <c r="C645" s="9" t="s">
        <v>772</v>
      </c>
      <c r="D645" s="9" t="s">
        <v>3840</v>
      </c>
      <c r="E645" s="9" t="s">
        <v>3840</v>
      </c>
      <c r="F645" s="9" t="s">
        <v>2378</v>
      </c>
      <c r="G645" s="8">
        <v>4.58</v>
      </c>
      <c r="H645" s="8">
        <v>4.5</v>
      </c>
      <c r="I645" s="8" t="s">
        <v>21</v>
      </c>
    </row>
    <row r="646" spans="1:9" ht="12.5">
      <c r="A646" s="20">
        <v>2246870</v>
      </c>
      <c r="B646" s="9" t="s">
        <v>768</v>
      </c>
      <c r="C646" s="9" t="s">
        <v>769</v>
      </c>
      <c r="D646" s="9" t="s">
        <v>3841</v>
      </c>
      <c r="E646" s="9" t="s">
        <v>3842</v>
      </c>
      <c r="F646" s="9" t="s">
        <v>3843</v>
      </c>
      <c r="G646" s="8">
        <v>4.1500000000000004</v>
      </c>
      <c r="H646" s="8">
        <v>3.5</v>
      </c>
      <c r="I646" s="8" t="s">
        <v>17</v>
      </c>
    </row>
    <row r="647" spans="1:9" ht="12.5">
      <c r="A647" s="20">
        <v>1545344</v>
      </c>
      <c r="B647" s="9" t="s">
        <v>768</v>
      </c>
      <c r="C647" s="9" t="s">
        <v>820</v>
      </c>
      <c r="D647" s="9" t="s">
        <v>3844</v>
      </c>
      <c r="E647" s="9" t="s">
        <v>3845</v>
      </c>
      <c r="F647" s="9" t="s">
        <v>3846</v>
      </c>
      <c r="G647" s="8">
        <v>4.07</v>
      </c>
      <c r="H647" s="8">
        <v>2.8</v>
      </c>
      <c r="I647" s="8" t="s">
        <v>21</v>
      </c>
    </row>
    <row r="648" spans="1:9" ht="12.5">
      <c r="A648" s="20">
        <v>1587778</v>
      </c>
      <c r="B648" s="9" t="s">
        <v>768</v>
      </c>
      <c r="C648" s="9" t="s">
        <v>772</v>
      </c>
      <c r="D648" s="9" t="s">
        <v>3847</v>
      </c>
      <c r="E648" s="9" t="s">
        <v>3848</v>
      </c>
      <c r="F648" s="9" t="s">
        <v>3810</v>
      </c>
      <c r="G648" s="8">
        <v>4.33</v>
      </c>
      <c r="H648" s="8">
        <v>4.2</v>
      </c>
      <c r="I648" s="8" t="s">
        <v>21</v>
      </c>
    </row>
    <row r="649" spans="1:9" ht="12.5">
      <c r="A649" s="20">
        <v>1694544</v>
      </c>
      <c r="B649" s="9" t="s">
        <v>768</v>
      </c>
      <c r="C649" s="9" t="s">
        <v>772</v>
      </c>
      <c r="D649" s="9" t="s">
        <v>3849</v>
      </c>
      <c r="E649" s="9" t="s">
        <v>3850</v>
      </c>
      <c r="F649" s="9" t="s">
        <v>3843</v>
      </c>
      <c r="G649" s="8">
        <v>4.3899999999999997</v>
      </c>
      <c r="H649" s="8">
        <v>3</v>
      </c>
      <c r="I649" s="8" t="s">
        <v>17</v>
      </c>
    </row>
    <row r="650" spans="1:9" ht="12.5">
      <c r="A650" s="20">
        <v>1971748</v>
      </c>
      <c r="B650" s="9" t="s">
        <v>768</v>
      </c>
      <c r="C650" s="9" t="s">
        <v>776</v>
      </c>
      <c r="D650" s="9" t="s">
        <v>3851</v>
      </c>
      <c r="E650" s="9" t="s">
        <v>3852</v>
      </c>
      <c r="F650" s="9" t="s">
        <v>2388</v>
      </c>
      <c r="G650" s="8">
        <v>4.3899999999999997</v>
      </c>
      <c r="H650" s="8">
        <v>4</v>
      </c>
      <c r="I650" s="8" t="s">
        <v>21</v>
      </c>
    </row>
    <row r="651" spans="1:9" ht="12.5">
      <c r="A651" s="20">
        <v>2370918</v>
      </c>
      <c r="B651" s="9" t="s">
        <v>768</v>
      </c>
      <c r="C651" s="9" t="s">
        <v>827</v>
      </c>
      <c r="D651" s="9" t="s">
        <v>3853</v>
      </c>
      <c r="E651" s="9" t="s">
        <v>3854</v>
      </c>
      <c r="F651" s="9" t="s">
        <v>3855</v>
      </c>
      <c r="G651" s="8">
        <v>4.33</v>
      </c>
      <c r="H651" s="8">
        <v>2.1</v>
      </c>
      <c r="I651" s="8" t="s">
        <v>17</v>
      </c>
    </row>
    <row r="652" spans="1:9" ht="12.5">
      <c r="A652" s="20">
        <v>2518440</v>
      </c>
      <c r="B652" s="9" t="s">
        <v>768</v>
      </c>
      <c r="C652" s="9" t="s">
        <v>769</v>
      </c>
      <c r="D652" s="9" t="s">
        <v>3856</v>
      </c>
      <c r="E652" s="9" t="s">
        <v>3857</v>
      </c>
      <c r="F652" s="9" t="s">
        <v>2378</v>
      </c>
      <c r="G652" s="8">
        <v>4.5599999999999996</v>
      </c>
      <c r="H652" s="8">
        <v>4.9000000000000004</v>
      </c>
      <c r="I652" s="8" t="s">
        <v>21</v>
      </c>
    </row>
    <row r="653" spans="1:9" ht="12.5">
      <c r="A653" s="20">
        <v>1958442</v>
      </c>
      <c r="B653" s="9" t="s">
        <v>768</v>
      </c>
      <c r="C653" s="9" t="s">
        <v>827</v>
      </c>
      <c r="D653" s="9" t="s">
        <v>3858</v>
      </c>
      <c r="E653" s="9" t="s">
        <v>3859</v>
      </c>
      <c r="F653" s="9" t="s">
        <v>3860</v>
      </c>
      <c r="G653" s="8">
        <v>4.1399999999999997</v>
      </c>
      <c r="H653" s="8">
        <v>1.9</v>
      </c>
      <c r="I653" s="8" t="s">
        <v>17</v>
      </c>
    </row>
    <row r="654" spans="1:9" ht="12.5">
      <c r="A654" s="20">
        <v>2506602</v>
      </c>
      <c r="B654" s="9" t="s">
        <v>768</v>
      </c>
      <c r="C654" s="9" t="s">
        <v>776</v>
      </c>
      <c r="D654" s="9" t="s">
        <v>3861</v>
      </c>
      <c r="E654" s="9" t="s">
        <v>3862</v>
      </c>
      <c r="F654" s="9" t="s">
        <v>3863</v>
      </c>
      <c r="G654" s="8">
        <v>4.51</v>
      </c>
      <c r="H654" s="8">
        <v>5.7</v>
      </c>
      <c r="I654" s="8" t="s">
        <v>21</v>
      </c>
    </row>
    <row r="655" spans="1:9" ht="12.5">
      <c r="A655" s="20">
        <v>3332312</v>
      </c>
      <c r="B655" s="9" t="s">
        <v>768</v>
      </c>
      <c r="C655" s="9" t="s">
        <v>786</v>
      </c>
      <c r="D655" s="9" t="s">
        <v>3864</v>
      </c>
      <c r="E655" s="9" t="s">
        <v>3865</v>
      </c>
      <c r="F655" s="9" t="s">
        <v>2378</v>
      </c>
      <c r="G655" s="8">
        <v>4.6399999999999997</v>
      </c>
      <c r="H655" s="8">
        <v>7.8</v>
      </c>
      <c r="I655" s="8" t="s">
        <v>21</v>
      </c>
    </row>
    <row r="656" spans="1:9" ht="12.5">
      <c r="A656" s="20">
        <v>2335338</v>
      </c>
      <c r="B656" s="9" t="s">
        <v>768</v>
      </c>
      <c r="C656" s="9" t="s">
        <v>827</v>
      </c>
      <c r="D656" s="9" t="s">
        <v>3866</v>
      </c>
      <c r="E656" s="9" t="s">
        <v>3867</v>
      </c>
      <c r="F656" s="9" t="s">
        <v>3868</v>
      </c>
      <c r="G656" s="8">
        <v>4.46</v>
      </c>
      <c r="H656" s="8">
        <v>3.5</v>
      </c>
      <c r="I656" s="8" t="s">
        <v>72</v>
      </c>
    </row>
    <row r="657" spans="1:9" ht="12.5">
      <c r="A657" s="20">
        <v>3193142</v>
      </c>
      <c r="B657" s="9" t="s">
        <v>768</v>
      </c>
      <c r="C657" s="9" t="s">
        <v>795</v>
      </c>
      <c r="D657" s="9" t="s">
        <v>3869</v>
      </c>
      <c r="E657" s="9" t="s">
        <v>3870</v>
      </c>
      <c r="F657" s="9" t="s">
        <v>2378</v>
      </c>
      <c r="G657" s="8">
        <v>4.74</v>
      </c>
      <c r="H657" s="8">
        <v>4</v>
      </c>
      <c r="I657" s="8" t="s">
        <v>21</v>
      </c>
    </row>
    <row r="658" spans="1:9" ht="12.5">
      <c r="A658" s="20">
        <v>1876112</v>
      </c>
      <c r="B658" s="9" t="s">
        <v>768</v>
      </c>
      <c r="C658" s="9" t="s">
        <v>772</v>
      </c>
      <c r="D658" s="9" t="s">
        <v>3871</v>
      </c>
      <c r="E658" s="9" t="s">
        <v>3872</v>
      </c>
      <c r="F658" s="9" t="s">
        <v>2304</v>
      </c>
      <c r="G658" s="8">
        <v>4.58</v>
      </c>
      <c r="H658" s="8">
        <v>7.4</v>
      </c>
      <c r="I658" s="8" t="s">
        <v>72</v>
      </c>
    </row>
    <row r="659" spans="1:9" ht="12.5">
      <c r="A659" s="20">
        <v>2437778</v>
      </c>
      <c r="B659" s="9" t="s">
        <v>768</v>
      </c>
      <c r="C659" s="9" t="s">
        <v>792</v>
      </c>
      <c r="D659" s="9" t="s">
        <v>3873</v>
      </c>
      <c r="E659" s="9" t="s">
        <v>3874</v>
      </c>
      <c r="F659" s="9" t="s">
        <v>2981</v>
      </c>
      <c r="G659" s="8">
        <v>4.57</v>
      </c>
      <c r="H659" s="8">
        <v>2</v>
      </c>
      <c r="I659" s="8" t="s">
        <v>21</v>
      </c>
    </row>
    <row r="660" spans="1:9" ht="12.5">
      <c r="A660" s="20">
        <v>2653254</v>
      </c>
      <c r="B660" s="9" t="s">
        <v>768</v>
      </c>
      <c r="C660" s="9" t="s">
        <v>776</v>
      </c>
      <c r="D660" s="9" t="s">
        <v>3875</v>
      </c>
      <c r="E660" s="9" t="s">
        <v>3876</v>
      </c>
      <c r="F660" s="9" t="s">
        <v>2557</v>
      </c>
      <c r="G660" s="8">
        <v>4.6900000000000004</v>
      </c>
      <c r="H660" s="8">
        <v>9.6999999999999993</v>
      </c>
      <c r="I660" s="8" t="s">
        <v>21</v>
      </c>
    </row>
    <row r="661" spans="1:9" ht="12.5">
      <c r="A661" s="20">
        <v>2835898</v>
      </c>
      <c r="B661" s="9" t="s">
        <v>768</v>
      </c>
      <c r="C661" s="9" t="s">
        <v>786</v>
      </c>
      <c r="D661" s="9" t="s">
        <v>3877</v>
      </c>
      <c r="E661" s="9" t="s">
        <v>3878</v>
      </c>
      <c r="F661" s="9" t="s">
        <v>2378</v>
      </c>
      <c r="G661" s="8">
        <v>4.24</v>
      </c>
      <c r="H661" s="8">
        <v>4.3</v>
      </c>
      <c r="I661" s="8" t="s">
        <v>21</v>
      </c>
    </row>
    <row r="662" spans="1:9" ht="12.5">
      <c r="A662" s="20">
        <v>1469042</v>
      </c>
      <c r="B662" s="9" t="s">
        <v>768</v>
      </c>
      <c r="C662" s="9" t="s">
        <v>827</v>
      </c>
      <c r="D662" s="9" t="s">
        <v>3879</v>
      </c>
      <c r="E662" s="9" t="s">
        <v>3880</v>
      </c>
      <c r="F662" s="9" t="s">
        <v>3843</v>
      </c>
      <c r="G662" s="8">
        <v>4.5599999999999996</v>
      </c>
      <c r="H662" s="8">
        <v>1.7</v>
      </c>
      <c r="I662" s="8" t="s">
        <v>17</v>
      </c>
    </row>
    <row r="663" spans="1:9" ht="12.5">
      <c r="A663" s="20">
        <v>3089236</v>
      </c>
      <c r="B663" s="9" t="s">
        <v>768</v>
      </c>
      <c r="C663" s="9" t="s">
        <v>786</v>
      </c>
      <c r="D663" s="9" t="s">
        <v>3881</v>
      </c>
      <c r="E663" s="9" t="s">
        <v>3882</v>
      </c>
      <c r="F663" s="9" t="s">
        <v>3802</v>
      </c>
      <c r="G663" s="8">
        <v>4.79</v>
      </c>
      <c r="H663" s="8">
        <v>7.8</v>
      </c>
      <c r="I663" s="8" t="s">
        <v>21</v>
      </c>
    </row>
    <row r="664" spans="1:9" ht="12.5">
      <c r="A664" s="20">
        <v>1415700</v>
      </c>
      <c r="B664" s="9" t="s">
        <v>768</v>
      </c>
      <c r="C664" s="9" t="s">
        <v>772</v>
      </c>
      <c r="D664" s="9" t="s">
        <v>3883</v>
      </c>
      <c r="E664" s="9" t="s">
        <v>3884</v>
      </c>
      <c r="F664" s="9" t="s">
        <v>3885</v>
      </c>
      <c r="G664" s="8">
        <v>4.59</v>
      </c>
      <c r="H664" s="8">
        <v>8.4</v>
      </c>
      <c r="I664" s="8" t="s">
        <v>21</v>
      </c>
    </row>
    <row r="665" spans="1:9" ht="12.5">
      <c r="A665" s="20">
        <v>1616562</v>
      </c>
      <c r="B665" s="9" t="s">
        <v>768</v>
      </c>
      <c r="C665" s="9" t="s">
        <v>786</v>
      </c>
      <c r="D665" s="9" t="s">
        <v>3886</v>
      </c>
      <c r="E665" s="9" t="s">
        <v>3887</v>
      </c>
      <c r="F665" s="9" t="s">
        <v>3888</v>
      </c>
      <c r="G665" s="8">
        <v>4.25</v>
      </c>
      <c r="H665" s="8">
        <v>1.2</v>
      </c>
      <c r="I665" s="8" t="s">
        <v>21</v>
      </c>
    </row>
    <row r="666" spans="1:9" ht="12.5">
      <c r="A666" s="20">
        <v>1723362</v>
      </c>
      <c r="B666" s="9" t="s">
        <v>768</v>
      </c>
      <c r="C666" s="9" t="s">
        <v>795</v>
      </c>
      <c r="D666" s="9" t="s">
        <v>3889</v>
      </c>
      <c r="E666" s="9" t="s">
        <v>3890</v>
      </c>
      <c r="F666" s="9" t="s">
        <v>3891</v>
      </c>
      <c r="G666" s="8">
        <v>4.3</v>
      </c>
      <c r="H666" s="8">
        <v>7</v>
      </c>
      <c r="I666" s="8" t="s">
        <v>21</v>
      </c>
    </row>
    <row r="667" spans="1:9" ht="12.5">
      <c r="A667" s="20">
        <v>2373158</v>
      </c>
      <c r="B667" s="9" t="s">
        <v>768</v>
      </c>
      <c r="C667" s="9" t="s">
        <v>827</v>
      </c>
      <c r="D667" s="9" t="s">
        <v>3892</v>
      </c>
      <c r="E667" s="9" t="s">
        <v>3893</v>
      </c>
      <c r="F667" s="9" t="s">
        <v>3894</v>
      </c>
      <c r="G667" s="8">
        <v>4.8899999999999997</v>
      </c>
      <c r="H667" s="8">
        <v>6</v>
      </c>
      <c r="I667" s="8" t="s">
        <v>21</v>
      </c>
    </row>
    <row r="668" spans="1:9" ht="12.5">
      <c r="A668" s="20">
        <v>2445386</v>
      </c>
      <c r="B668" s="9" t="s">
        <v>768</v>
      </c>
      <c r="C668" s="9" t="s">
        <v>776</v>
      </c>
      <c r="D668" s="9" t="s">
        <v>3895</v>
      </c>
      <c r="E668" s="9" t="s">
        <v>3896</v>
      </c>
      <c r="F668" s="9" t="s">
        <v>3897</v>
      </c>
      <c r="G668" s="8">
        <v>4.45</v>
      </c>
      <c r="H668" s="8">
        <v>6.2</v>
      </c>
      <c r="I668" s="8" t="s">
        <v>21</v>
      </c>
    </row>
    <row r="669" spans="1:9" ht="12.5">
      <c r="A669" s="20">
        <v>1355098</v>
      </c>
      <c r="B669" s="9" t="s">
        <v>768</v>
      </c>
      <c r="C669" s="9" t="s">
        <v>786</v>
      </c>
      <c r="D669" s="9" t="s">
        <v>3898</v>
      </c>
      <c r="E669" s="9" t="s">
        <v>3899</v>
      </c>
      <c r="F669" s="9" t="s">
        <v>2378</v>
      </c>
      <c r="G669" s="8">
        <v>4.57</v>
      </c>
      <c r="H669" s="8">
        <v>7.4</v>
      </c>
      <c r="I669" s="8" t="s">
        <v>21</v>
      </c>
    </row>
    <row r="670" spans="1:9" ht="12.5">
      <c r="A670" s="20">
        <v>2739146</v>
      </c>
      <c r="B670" s="9" t="s">
        <v>768</v>
      </c>
      <c r="C670" s="9" t="s">
        <v>795</v>
      </c>
      <c r="D670" s="9" t="s">
        <v>3900</v>
      </c>
      <c r="E670" s="9" t="s">
        <v>3901</v>
      </c>
      <c r="F670" s="9" t="s">
        <v>3902</v>
      </c>
      <c r="G670" s="8">
        <v>4.5599999999999996</v>
      </c>
      <c r="H670" s="8">
        <v>2.6</v>
      </c>
      <c r="I670" s="8" t="s">
        <v>17</v>
      </c>
    </row>
    <row r="671" spans="1:9" ht="12.5">
      <c r="A671" s="20">
        <v>2761080</v>
      </c>
      <c r="B671" s="9" t="s">
        <v>768</v>
      </c>
      <c r="C671" s="9" t="s">
        <v>795</v>
      </c>
      <c r="D671" s="9" t="s">
        <v>3903</v>
      </c>
      <c r="E671" s="9" t="s">
        <v>3904</v>
      </c>
      <c r="F671" s="9" t="s">
        <v>2378</v>
      </c>
      <c r="G671" s="8">
        <v>4.57</v>
      </c>
      <c r="H671" s="8">
        <v>5.6</v>
      </c>
      <c r="I671" s="8" t="s">
        <v>21</v>
      </c>
    </row>
    <row r="672" spans="1:9" ht="12.5">
      <c r="A672" s="20">
        <v>1272392</v>
      </c>
      <c r="B672" s="9" t="s">
        <v>768</v>
      </c>
      <c r="C672" s="9" t="s">
        <v>769</v>
      </c>
      <c r="D672" s="9" t="s">
        <v>3905</v>
      </c>
      <c r="E672" s="9" t="s">
        <v>3906</v>
      </c>
      <c r="F672" s="9" t="s">
        <v>2378</v>
      </c>
      <c r="G672" s="8">
        <v>4.55</v>
      </c>
      <c r="H672" s="8">
        <v>6</v>
      </c>
      <c r="I672" s="8" t="s">
        <v>21</v>
      </c>
    </row>
    <row r="673" spans="1:9" ht="12.5">
      <c r="A673" s="20">
        <v>1837266</v>
      </c>
      <c r="B673" s="9" t="s">
        <v>768</v>
      </c>
      <c r="C673" s="9" t="s">
        <v>769</v>
      </c>
      <c r="D673" s="9" t="s">
        <v>3907</v>
      </c>
      <c r="E673" s="9" t="s">
        <v>3908</v>
      </c>
      <c r="F673" s="9" t="s">
        <v>3843</v>
      </c>
      <c r="G673" s="8">
        <v>4.22</v>
      </c>
      <c r="H673" s="8">
        <v>2.8</v>
      </c>
      <c r="I673" s="8" t="s">
        <v>17</v>
      </c>
    </row>
    <row r="674" spans="1:9" ht="12.5">
      <c r="A674" s="20">
        <v>1853944</v>
      </c>
      <c r="B674" s="9" t="s">
        <v>768</v>
      </c>
      <c r="C674" s="9" t="s">
        <v>786</v>
      </c>
      <c r="D674" s="9" t="s">
        <v>3909</v>
      </c>
      <c r="E674" s="9" t="s">
        <v>3910</v>
      </c>
      <c r="F674" s="9" t="s">
        <v>3022</v>
      </c>
      <c r="G674" s="8">
        <v>4.59</v>
      </c>
      <c r="H674" s="8">
        <v>5.7</v>
      </c>
      <c r="I674" s="8" t="s">
        <v>17</v>
      </c>
    </row>
    <row r="675" spans="1:9" ht="12.5">
      <c r="A675" s="20">
        <v>2250582</v>
      </c>
      <c r="B675" s="9" t="s">
        <v>768</v>
      </c>
      <c r="C675" s="9" t="s">
        <v>827</v>
      </c>
      <c r="D675" s="9" t="s">
        <v>3911</v>
      </c>
      <c r="E675" s="9" t="s">
        <v>3912</v>
      </c>
      <c r="F675" s="9" t="s">
        <v>3913</v>
      </c>
      <c r="G675" s="8">
        <v>4.82</v>
      </c>
      <c r="H675" s="8">
        <v>3</v>
      </c>
      <c r="I675" s="8" t="s">
        <v>21</v>
      </c>
    </row>
    <row r="676" spans="1:9" ht="12.5">
      <c r="A676" s="20">
        <v>2362690</v>
      </c>
      <c r="B676" s="9" t="s">
        <v>768</v>
      </c>
      <c r="C676" s="9" t="s">
        <v>792</v>
      </c>
      <c r="D676" s="9" t="s">
        <v>3914</v>
      </c>
      <c r="E676" s="9" t="s">
        <v>3915</v>
      </c>
      <c r="F676" s="9" t="s">
        <v>3916</v>
      </c>
      <c r="G676" s="8">
        <v>4.8</v>
      </c>
      <c r="H676" s="8">
        <v>3.3</v>
      </c>
      <c r="I676" s="8" t="s">
        <v>21</v>
      </c>
    </row>
    <row r="677" spans="1:9" ht="12.5">
      <c r="A677" s="20">
        <v>2522724</v>
      </c>
      <c r="B677" s="9" t="s">
        <v>768</v>
      </c>
      <c r="C677" s="9" t="s">
        <v>795</v>
      </c>
      <c r="D677" s="9" t="s">
        <v>3917</v>
      </c>
      <c r="E677" s="9" t="s">
        <v>3918</v>
      </c>
      <c r="F677" s="9" t="s">
        <v>3233</v>
      </c>
      <c r="G677" s="8">
        <v>4.22</v>
      </c>
      <c r="H677" s="8">
        <v>3.7</v>
      </c>
      <c r="I677" s="8" t="s">
        <v>21</v>
      </c>
    </row>
    <row r="678" spans="1:9" ht="12.5">
      <c r="A678" s="20">
        <v>3125000</v>
      </c>
      <c r="B678" s="9" t="s">
        <v>768</v>
      </c>
      <c r="C678" s="9" t="s">
        <v>792</v>
      </c>
      <c r="D678" s="9" t="s">
        <v>3919</v>
      </c>
      <c r="E678" s="9" t="s">
        <v>3920</v>
      </c>
      <c r="F678" s="9" t="s">
        <v>3799</v>
      </c>
      <c r="G678" s="8">
        <v>4.59</v>
      </c>
      <c r="H678" s="8">
        <v>8</v>
      </c>
      <c r="I678" s="8" t="s">
        <v>17</v>
      </c>
    </row>
    <row r="679" spans="1:9" ht="12.5">
      <c r="A679" s="20">
        <v>566284</v>
      </c>
      <c r="B679" s="9" t="s">
        <v>864</v>
      </c>
      <c r="C679" s="9" t="s">
        <v>865</v>
      </c>
      <c r="D679" s="9" t="s">
        <v>3921</v>
      </c>
      <c r="E679" s="9" t="s">
        <v>3922</v>
      </c>
      <c r="F679" s="9" t="s">
        <v>2336</v>
      </c>
      <c r="G679" s="8">
        <v>4.6399999999999997</v>
      </c>
      <c r="H679" s="8">
        <v>11.7</v>
      </c>
      <c r="I679" s="8" t="s">
        <v>21</v>
      </c>
    </row>
    <row r="680" spans="1:9" ht="12.5">
      <c r="A680" s="20">
        <v>1680824</v>
      </c>
      <c r="B680" s="9" t="s">
        <v>864</v>
      </c>
      <c r="C680" s="9" t="s">
        <v>865</v>
      </c>
      <c r="D680" s="9" t="s">
        <v>3923</v>
      </c>
      <c r="E680" s="9" t="s">
        <v>3924</v>
      </c>
      <c r="F680" s="9" t="s">
        <v>3925</v>
      </c>
      <c r="G680" s="8">
        <v>4.63</v>
      </c>
      <c r="H680" s="8">
        <v>41.9</v>
      </c>
      <c r="I680" s="8" t="s">
        <v>21</v>
      </c>
    </row>
    <row r="681" spans="1:9" ht="12.5">
      <c r="A681" s="20">
        <v>2311268</v>
      </c>
      <c r="B681" s="9" t="s">
        <v>864</v>
      </c>
      <c r="C681" s="9" t="s">
        <v>881</v>
      </c>
      <c r="D681" s="9" t="s">
        <v>3926</v>
      </c>
      <c r="E681" s="9" t="s">
        <v>3927</v>
      </c>
      <c r="F681" s="9" t="s">
        <v>3928</v>
      </c>
      <c r="G681" s="8">
        <v>4.41</v>
      </c>
      <c r="H681" s="8">
        <v>3</v>
      </c>
      <c r="I681" s="8" t="s">
        <v>21</v>
      </c>
    </row>
    <row r="682" spans="1:9" ht="12.5">
      <c r="A682" s="20">
        <v>1694044</v>
      </c>
      <c r="B682" s="9" t="s">
        <v>864</v>
      </c>
      <c r="C682" s="9" t="s">
        <v>881</v>
      </c>
      <c r="D682" s="9" t="s">
        <v>3929</v>
      </c>
      <c r="E682" s="9" t="s">
        <v>3930</v>
      </c>
      <c r="F682" s="9" t="s">
        <v>3931</v>
      </c>
      <c r="G682" s="8">
        <v>4.5</v>
      </c>
      <c r="H682" s="8">
        <v>1.7</v>
      </c>
      <c r="I682" s="8" t="s">
        <v>21</v>
      </c>
    </row>
    <row r="683" spans="1:9" ht="12.5">
      <c r="A683" s="20">
        <v>818104</v>
      </c>
      <c r="B683" s="9" t="s">
        <v>864</v>
      </c>
      <c r="C683" s="9" t="s">
        <v>865</v>
      </c>
      <c r="D683" s="9" t="s">
        <v>3932</v>
      </c>
      <c r="E683" s="9" t="s">
        <v>3933</v>
      </c>
      <c r="F683" s="9" t="s">
        <v>2336</v>
      </c>
      <c r="G683" s="8">
        <v>4.5999999999999996</v>
      </c>
      <c r="H683" s="8">
        <v>9.8000000000000007</v>
      </c>
      <c r="I683" s="8" t="s">
        <v>21</v>
      </c>
    </row>
    <row r="684" spans="1:9" ht="12.5">
      <c r="A684" s="20">
        <v>2365840</v>
      </c>
      <c r="B684" s="9" t="s">
        <v>864</v>
      </c>
      <c r="C684" s="9" t="s">
        <v>865</v>
      </c>
      <c r="D684" s="9" t="s">
        <v>3934</v>
      </c>
      <c r="E684" s="9" t="s">
        <v>3935</v>
      </c>
      <c r="F684" s="9" t="s">
        <v>2806</v>
      </c>
      <c r="G684" s="8">
        <v>4.7300000000000004</v>
      </c>
      <c r="H684" s="8">
        <v>27.7</v>
      </c>
      <c r="I684" s="8" t="s">
        <v>21</v>
      </c>
    </row>
    <row r="685" spans="1:9" ht="12.5">
      <c r="A685" s="20">
        <v>1230694</v>
      </c>
      <c r="B685" s="9" t="s">
        <v>864</v>
      </c>
      <c r="C685" s="9" t="s">
        <v>865</v>
      </c>
      <c r="D685" s="9" t="s">
        <v>3936</v>
      </c>
      <c r="E685" s="9" t="s">
        <v>3937</v>
      </c>
      <c r="F685" s="9" t="s">
        <v>3938</v>
      </c>
      <c r="G685" s="8">
        <v>4.55</v>
      </c>
      <c r="H685" s="8">
        <v>25.2</v>
      </c>
      <c r="I685" s="8" t="s">
        <v>21</v>
      </c>
    </row>
    <row r="686" spans="1:9" ht="12.5">
      <c r="A686" s="20">
        <v>1142034</v>
      </c>
      <c r="B686" s="9" t="s">
        <v>864</v>
      </c>
      <c r="C686" s="9" t="s">
        <v>875</v>
      </c>
      <c r="D686" s="9" t="s">
        <v>3939</v>
      </c>
      <c r="E686" s="9" t="s">
        <v>3940</v>
      </c>
      <c r="F686" s="9" t="s">
        <v>3941</v>
      </c>
      <c r="G686" s="8">
        <v>4.5</v>
      </c>
      <c r="H686" s="8">
        <v>1.4</v>
      </c>
      <c r="I686" s="8" t="s">
        <v>72</v>
      </c>
    </row>
    <row r="687" spans="1:9" ht="12.5">
      <c r="A687" s="20">
        <v>1499542</v>
      </c>
      <c r="B687" s="9" t="s">
        <v>864</v>
      </c>
      <c r="C687" s="9" t="s">
        <v>905</v>
      </c>
      <c r="D687" s="9" t="s">
        <v>3942</v>
      </c>
      <c r="E687" s="9" t="s">
        <v>3943</v>
      </c>
      <c r="F687" s="9" t="s">
        <v>3022</v>
      </c>
      <c r="G687" s="8">
        <v>4.78</v>
      </c>
      <c r="H687" s="8">
        <v>6.4</v>
      </c>
      <c r="I687" s="8" t="s">
        <v>21</v>
      </c>
    </row>
    <row r="688" spans="1:9" ht="12.5">
      <c r="A688" s="20">
        <v>2634160</v>
      </c>
      <c r="B688" s="9" t="s">
        <v>864</v>
      </c>
      <c r="C688" s="9" t="s">
        <v>865</v>
      </c>
      <c r="D688" s="9" t="s">
        <v>3944</v>
      </c>
      <c r="E688" s="9" t="s">
        <v>3945</v>
      </c>
      <c r="F688" s="9" t="s">
        <v>3938</v>
      </c>
      <c r="G688" s="8">
        <v>4.59</v>
      </c>
      <c r="H688" s="8">
        <v>34.1</v>
      </c>
      <c r="I688" s="8" t="s">
        <v>21</v>
      </c>
    </row>
    <row r="689" spans="1:9" ht="12.5">
      <c r="A689" s="20">
        <v>2601044</v>
      </c>
      <c r="B689" s="9" t="s">
        <v>864</v>
      </c>
      <c r="C689" s="9" t="s">
        <v>865</v>
      </c>
      <c r="D689" s="9" t="s">
        <v>3946</v>
      </c>
      <c r="E689" s="9" t="s">
        <v>3947</v>
      </c>
      <c r="F689" s="9" t="s">
        <v>3948</v>
      </c>
      <c r="G689" s="8">
        <v>4.5</v>
      </c>
      <c r="H689" s="8">
        <v>4.9000000000000004</v>
      </c>
      <c r="I689" s="8" t="s">
        <v>21</v>
      </c>
    </row>
    <row r="690" spans="1:9" ht="12.5">
      <c r="A690" s="20">
        <v>1336356</v>
      </c>
      <c r="B690" s="9" t="s">
        <v>864</v>
      </c>
      <c r="C690" s="9" t="s">
        <v>905</v>
      </c>
      <c r="D690" s="9" t="s">
        <v>3949</v>
      </c>
      <c r="E690" s="9" t="s">
        <v>3950</v>
      </c>
      <c r="F690" s="9" t="s">
        <v>3951</v>
      </c>
      <c r="G690" s="8">
        <v>4.5</v>
      </c>
      <c r="H690" s="8">
        <v>3</v>
      </c>
      <c r="I690" s="8" t="s">
        <v>17</v>
      </c>
    </row>
    <row r="691" spans="1:9" ht="12.5">
      <c r="A691" s="20">
        <v>1437302</v>
      </c>
      <c r="B691" s="9" t="s">
        <v>864</v>
      </c>
      <c r="C691" s="9" t="s">
        <v>875</v>
      </c>
      <c r="D691" s="9" t="s">
        <v>3952</v>
      </c>
      <c r="E691" s="9" t="s">
        <v>3953</v>
      </c>
      <c r="F691" s="9" t="s">
        <v>2681</v>
      </c>
      <c r="G691" s="8">
        <v>4.58</v>
      </c>
      <c r="H691" s="8">
        <v>12.2</v>
      </c>
      <c r="I691" s="8" t="s">
        <v>21</v>
      </c>
    </row>
    <row r="692" spans="1:9" ht="12.5">
      <c r="A692" s="20">
        <v>3046438</v>
      </c>
      <c r="B692" s="9" t="s">
        <v>864</v>
      </c>
      <c r="C692" s="9" t="s">
        <v>905</v>
      </c>
      <c r="D692" s="9" t="s">
        <v>3954</v>
      </c>
      <c r="E692" s="9" t="s">
        <v>3955</v>
      </c>
      <c r="F692" s="9" t="s">
        <v>3956</v>
      </c>
      <c r="G692" s="8">
        <v>4.05</v>
      </c>
      <c r="H692" s="8">
        <v>1.3</v>
      </c>
      <c r="I692" s="8" t="s">
        <v>17</v>
      </c>
    </row>
    <row r="693" spans="1:9" ht="12.5">
      <c r="A693" s="20">
        <v>2629780</v>
      </c>
      <c r="B693" s="9" t="s">
        <v>864</v>
      </c>
      <c r="C693" s="9" t="s">
        <v>865</v>
      </c>
      <c r="D693" s="9" t="s">
        <v>3957</v>
      </c>
      <c r="E693" s="9" t="s">
        <v>3958</v>
      </c>
      <c r="F693" s="9" t="s">
        <v>3959</v>
      </c>
      <c r="G693" s="8">
        <v>4.3600000000000003</v>
      </c>
      <c r="H693" s="8">
        <v>5</v>
      </c>
      <c r="I693" s="8" t="s">
        <v>21</v>
      </c>
    </row>
    <row r="694" spans="1:9" ht="12.5">
      <c r="A694" s="20">
        <v>1733318</v>
      </c>
      <c r="B694" s="9" t="s">
        <v>864</v>
      </c>
      <c r="C694" s="9" t="s">
        <v>881</v>
      </c>
      <c r="D694" s="9" t="s">
        <v>3960</v>
      </c>
      <c r="E694" s="9" t="s">
        <v>3961</v>
      </c>
      <c r="F694" s="9" t="s">
        <v>3962</v>
      </c>
      <c r="G694" s="8">
        <v>4.2300000000000004</v>
      </c>
      <c r="H694" s="8">
        <v>9.4</v>
      </c>
      <c r="I694" s="8" t="s">
        <v>17</v>
      </c>
    </row>
    <row r="695" spans="1:9" ht="12.5">
      <c r="A695" s="20">
        <v>1905360</v>
      </c>
      <c r="B695" s="9" t="s">
        <v>864</v>
      </c>
      <c r="C695" s="9" t="s">
        <v>865</v>
      </c>
      <c r="D695" s="9" t="s">
        <v>3963</v>
      </c>
      <c r="E695" s="9" t="s">
        <v>3964</v>
      </c>
      <c r="F695" s="9" t="s">
        <v>2388</v>
      </c>
      <c r="G695" s="8">
        <v>4.5599999999999996</v>
      </c>
      <c r="H695" s="8">
        <v>2.1</v>
      </c>
      <c r="I695" s="8" t="s">
        <v>21</v>
      </c>
    </row>
    <row r="696" spans="1:9" ht="12.5">
      <c r="A696" s="20">
        <v>1120656</v>
      </c>
      <c r="B696" s="9" t="s">
        <v>864</v>
      </c>
      <c r="C696" s="9" t="s">
        <v>875</v>
      </c>
      <c r="D696" s="9" t="s">
        <v>3965</v>
      </c>
      <c r="E696" s="9" t="s">
        <v>3966</v>
      </c>
      <c r="F696" s="9" t="s">
        <v>3967</v>
      </c>
      <c r="G696" s="8">
        <v>4.34</v>
      </c>
      <c r="H696" s="8">
        <v>2.2000000000000002</v>
      </c>
      <c r="I696" s="8" t="s">
        <v>21</v>
      </c>
    </row>
    <row r="697" spans="1:9" ht="12.5">
      <c r="A697" s="20">
        <v>2137294</v>
      </c>
      <c r="B697" s="9" t="s">
        <v>864</v>
      </c>
      <c r="C697" s="9" t="s">
        <v>865</v>
      </c>
      <c r="D697" s="9" t="s">
        <v>3968</v>
      </c>
      <c r="E697" s="9" t="s">
        <v>3969</v>
      </c>
      <c r="F697" s="9" t="s">
        <v>2371</v>
      </c>
      <c r="G697" s="8">
        <v>4.46</v>
      </c>
      <c r="H697" s="8">
        <v>11.7</v>
      </c>
      <c r="I697" s="8" t="s">
        <v>21</v>
      </c>
    </row>
    <row r="698" spans="1:9" ht="12.5">
      <c r="A698" s="20">
        <v>2706938</v>
      </c>
      <c r="B698" s="9" t="s">
        <v>864</v>
      </c>
      <c r="C698" s="9" t="s">
        <v>881</v>
      </c>
      <c r="D698" s="9" t="s">
        <v>3970</v>
      </c>
      <c r="E698" s="9" t="s">
        <v>3971</v>
      </c>
      <c r="F698" s="9" t="s">
        <v>2681</v>
      </c>
      <c r="G698" s="8">
        <v>4.63</v>
      </c>
      <c r="H698" s="8">
        <v>2</v>
      </c>
      <c r="I698" s="8" t="s">
        <v>21</v>
      </c>
    </row>
    <row r="699" spans="1:9" ht="12.5">
      <c r="A699" s="20">
        <v>2915828</v>
      </c>
      <c r="B699" s="9" t="s">
        <v>864</v>
      </c>
      <c r="C699" s="9" t="s">
        <v>881</v>
      </c>
      <c r="D699" s="9" t="s">
        <v>3972</v>
      </c>
      <c r="E699" s="9" t="s">
        <v>3973</v>
      </c>
      <c r="F699" s="9" t="s">
        <v>3974</v>
      </c>
      <c r="G699" s="8">
        <v>4.28</v>
      </c>
      <c r="H699" s="8">
        <v>2</v>
      </c>
      <c r="I699" s="8" t="s">
        <v>21</v>
      </c>
    </row>
    <row r="700" spans="1:9" ht="12.5">
      <c r="A700" s="20">
        <v>1686340</v>
      </c>
      <c r="B700" s="9" t="s">
        <v>864</v>
      </c>
      <c r="C700" s="9" t="s">
        <v>865</v>
      </c>
      <c r="D700" s="9" t="s">
        <v>3975</v>
      </c>
      <c r="E700" s="9" t="s">
        <v>3975</v>
      </c>
      <c r="F700" s="9" t="s">
        <v>3022</v>
      </c>
      <c r="G700" s="8">
        <v>4.76</v>
      </c>
      <c r="H700" s="8">
        <v>9.4</v>
      </c>
      <c r="I700" s="8" t="s">
        <v>17</v>
      </c>
    </row>
    <row r="701" spans="1:9" ht="12.5">
      <c r="A701" s="20">
        <v>2755068</v>
      </c>
      <c r="B701" s="9" t="s">
        <v>864</v>
      </c>
      <c r="C701" s="9" t="s">
        <v>865</v>
      </c>
      <c r="D701" s="9" t="s">
        <v>3976</v>
      </c>
      <c r="E701" s="9" t="s">
        <v>3977</v>
      </c>
      <c r="F701" s="9" t="s">
        <v>3978</v>
      </c>
      <c r="G701" s="8">
        <v>4.4000000000000004</v>
      </c>
      <c r="H701" s="8">
        <v>0.9</v>
      </c>
      <c r="I701" s="8" t="s">
        <v>21</v>
      </c>
    </row>
    <row r="702" spans="1:9" ht="12.5">
      <c r="A702" s="20">
        <v>2143752</v>
      </c>
      <c r="B702" s="9" t="s">
        <v>864</v>
      </c>
      <c r="C702" s="9" t="s">
        <v>865</v>
      </c>
      <c r="D702" s="9" t="s">
        <v>3979</v>
      </c>
      <c r="E702" s="9" t="s">
        <v>3980</v>
      </c>
      <c r="F702" s="9" t="s">
        <v>3149</v>
      </c>
      <c r="G702" s="8">
        <v>4.54</v>
      </c>
      <c r="H702" s="8">
        <v>1.8</v>
      </c>
      <c r="I702" s="8" t="s">
        <v>21</v>
      </c>
    </row>
    <row r="703" spans="1:9" ht="12.5">
      <c r="A703" s="20">
        <v>2210516</v>
      </c>
      <c r="B703" s="9" t="s">
        <v>864</v>
      </c>
      <c r="C703" s="9" t="s">
        <v>865</v>
      </c>
      <c r="D703" s="9" t="s">
        <v>3981</v>
      </c>
      <c r="E703" s="9" t="s">
        <v>3982</v>
      </c>
      <c r="F703" s="9" t="s">
        <v>3925</v>
      </c>
      <c r="G703" s="8">
        <v>4.42</v>
      </c>
      <c r="H703" s="8">
        <v>4.3</v>
      </c>
      <c r="I703" s="8" t="s">
        <v>21</v>
      </c>
    </row>
    <row r="704" spans="1:9" ht="12.5">
      <c r="A704" s="20">
        <v>1050618</v>
      </c>
      <c r="B704" s="9" t="s">
        <v>864</v>
      </c>
      <c r="C704" s="9" t="s">
        <v>865</v>
      </c>
      <c r="D704" s="9" t="s">
        <v>3983</v>
      </c>
      <c r="E704" s="9" t="s">
        <v>3984</v>
      </c>
      <c r="F704" s="9" t="s">
        <v>3967</v>
      </c>
      <c r="G704" s="8">
        <v>4.8099999999999996</v>
      </c>
      <c r="H704" s="8">
        <v>5.0999999999999996</v>
      </c>
      <c r="I704" s="8" t="s">
        <v>21</v>
      </c>
    </row>
    <row r="705" spans="1:9" ht="12.5">
      <c r="A705" s="20">
        <v>1567920</v>
      </c>
      <c r="B705" s="9" t="s">
        <v>864</v>
      </c>
      <c r="C705" s="9" t="s">
        <v>865</v>
      </c>
      <c r="D705" s="9" t="s">
        <v>3985</v>
      </c>
      <c r="E705" s="9" t="s">
        <v>3986</v>
      </c>
      <c r="F705" s="9" t="s">
        <v>3925</v>
      </c>
      <c r="G705" s="8">
        <v>4.13</v>
      </c>
      <c r="H705" s="8">
        <v>16.899999999999999</v>
      </c>
      <c r="I705" s="8" t="s">
        <v>21</v>
      </c>
    </row>
    <row r="706" spans="1:9" ht="12.5">
      <c r="A706" s="20">
        <v>2825009</v>
      </c>
      <c r="B706" s="9" t="s">
        <v>864</v>
      </c>
      <c r="C706" s="9" t="s">
        <v>865</v>
      </c>
      <c r="D706" s="9" t="s">
        <v>3987</v>
      </c>
      <c r="E706" s="9" t="s">
        <v>3988</v>
      </c>
      <c r="F706" s="9" t="s">
        <v>3022</v>
      </c>
      <c r="G706" s="8">
        <v>4.75</v>
      </c>
      <c r="H706" s="8">
        <v>11.3</v>
      </c>
      <c r="I706" s="8" t="s">
        <v>21</v>
      </c>
    </row>
    <row r="707" spans="1:9" ht="12.5">
      <c r="A707" s="20">
        <v>841714</v>
      </c>
      <c r="B707" s="9" t="s">
        <v>864</v>
      </c>
      <c r="C707" s="9" t="s">
        <v>1992</v>
      </c>
      <c r="D707" s="9" t="s">
        <v>3989</v>
      </c>
      <c r="E707" s="9" t="s">
        <v>3990</v>
      </c>
      <c r="F707" s="9" t="s">
        <v>3991</v>
      </c>
      <c r="G707" s="8">
        <v>3.93</v>
      </c>
      <c r="H707" s="8">
        <v>6.3</v>
      </c>
      <c r="I707" s="8" t="s">
        <v>21</v>
      </c>
    </row>
    <row r="708" spans="1:9" ht="12.5">
      <c r="A708" s="20">
        <v>1557696</v>
      </c>
      <c r="B708" s="9" t="s">
        <v>864</v>
      </c>
      <c r="C708" s="9" t="s">
        <v>865</v>
      </c>
      <c r="D708" s="9" t="s">
        <v>3992</v>
      </c>
      <c r="E708" s="9" t="s">
        <v>3993</v>
      </c>
      <c r="F708" s="9" t="s">
        <v>3022</v>
      </c>
      <c r="G708" s="8">
        <v>4.72</v>
      </c>
      <c r="H708" s="8">
        <v>9</v>
      </c>
      <c r="I708" s="8" t="s">
        <v>21</v>
      </c>
    </row>
    <row r="709" spans="1:9" ht="12.5">
      <c r="A709" s="20">
        <v>2749966</v>
      </c>
      <c r="B709" s="9" t="s">
        <v>864</v>
      </c>
      <c r="C709" s="9" t="s">
        <v>865</v>
      </c>
      <c r="D709" s="9" t="s">
        <v>3994</v>
      </c>
      <c r="E709" s="9" t="s">
        <v>3995</v>
      </c>
      <c r="F709" s="9" t="s">
        <v>3996</v>
      </c>
      <c r="G709" s="8">
        <v>4.5</v>
      </c>
      <c r="H709" s="8">
        <v>6.3</v>
      </c>
      <c r="I709" s="8" t="s">
        <v>21</v>
      </c>
    </row>
    <row r="710" spans="1:9" ht="12.5">
      <c r="A710" s="20">
        <v>2601728</v>
      </c>
      <c r="B710" s="9" t="s">
        <v>864</v>
      </c>
      <c r="C710" s="9" t="s">
        <v>865</v>
      </c>
      <c r="D710" s="9" t="s">
        <v>3997</v>
      </c>
      <c r="E710" s="9" t="s">
        <v>3998</v>
      </c>
      <c r="F710" s="9" t="s">
        <v>2371</v>
      </c>
      <c r="G710" s="8">
        <v>4.5999999999999996</v>
      </c>
      <c r="H710" s="8">
        <v>21.5</v>
      </c>
      <c r="I710" s="8" t="s">
        <v>21</v>
      </c>
    </row>
    <row r="711" spans="1:9" ht="12.5">
      <c r="A711" s="20">
        <v>3054654</v>
      </c>
      <c r="B711" s="9" t="s">
        <v>864</v>
      </c>
      <c r="C711" s="9" t="s">
        <v>865</v>
      </c>
      <c r="D711" s="9" t="s">
        <v>3999</v>
      </c>
      <c r="E711" s="9" t="s">
        <v>4000</v>
      </c>
      <c r="F711" s="9" t="s">
        <v>3978</v>
      </c>
      <c r="G711" s="8">
        <v>4.41</v>
      </c>
      <c r="H711" s="8">
        <v>5</v>
      </c>
      <c r="I711" s="8" t="s">
        <v>21</v>
      </c>
    </row>
    <row r="712" spans="1:9" ht="12.5">
      <c r="A712" s="20">
        <v>560700</v>
      </c>
      <c r="B712" s="9" t="s">
        <v>864</v>
      </c>
      <c r="C712" s="9" t="s">
        <v>865</v>
      </c>
      <c r="D712" s="9" t="s">
        <v>4001</v>
      </c>
      <c r="E712" s="9" t="s">
        <v>4002</v>
      </c>
      <c r="F712" s="9" t="s">
        <v>4003</v>
      </c>
      <c r="G712" s="8">
        <v>4.5999999999999996</v>
      </c>
      <c r="H712" s="8">
        <v>7.5</v>
      </c>
      <c r="I712" s="8" t="s">
        <v>21</v>
      </c>
    </row>
    <row r="713" spans="1:9" ht="12.5">
      <c r="A713" s="20">
        <v>894560</v>
      </c>
      <c r="B713" s="9" t="s">
        <v>864</v>
      </c>
      <c r="C713" s="9" t="s">
        <v>875</v>
      </c>
      <c r="D713" s="9" t="s">
        <v>4004</v>
      </c>
      <c r="E713" s="9" t="s">
        <v>4005</v>
      </c>
      <c r="F713" s="9" t="s">
        <v>3941</v>
      </c>
      <c r="G713" s="8">
        <v>4.63</v>
      </c>
      <c r="H713" s="8">
        <v>1.6</v>
      </c>
      <c r="I713" s="8" t="s">
        <v>72</v>
      </c>
    </row>
    <row r="714" spans="1:9" ht="12.5">
      <c r="A714" s="20">
        <v>1901024</v>
      </c>
      <c r="B714" s="9" t="s">
        <v>864</v>
      </c>
      <c r="C714" s="9" t="s">
        <v>875</v>
      </c>
      <c r="D714" s="9" t="s">
        <v>4006</v>
      </c>
      <c r="E714" s="9" t="s">
        <v>4007</v>
      </c>
      <c r="F714" s="9" t="s">
        <v>4008</v>
      </c>
      <c r="G714" s="8">
        <v>4.29</v>
      </c>
      <c r="H714" s="8">
        <v>2.1</v>
      </c>
      <c r="I714" s="8" t="s">
        <v>72</v>
      </c>
    </row>
    <row r="715" spans="1:9" ht="12.5">
      <c r="A715" s="20">
        <v>1707016</v>
      </c>
      <c r="B715" s="9" t="s">
        <v>864</v>
      </c>
      <c r="C715" s="9" t="s">
        <v>875</v>
      </c>
      <c r="D715" s="9" t="s">
        <v>4009</v>
      </c>
      <c r="E715" s="9" t="s">
        <v>4010</v>
      </c>
      <c r="F715" s="9" t="s">
        <v>2581</v>
      </c>
      <c r="G715" s="8">
        <v>4.38</v>
      </c>
      <c r="H715" s="8">
        <v>3.4</v>
      </c>
      <c r="I715" s="8" t="s">
        <v>17</v>
      </c>
    </row>
    <row r="716" spans="1:9" ht="12.5">
      <c r="A716" s="20">
        <v>1902030</v>
      </c>
      <c r="B716" s="9" t="s">
        <v>864</v>
      </c>
      <c r="C716" s="9" t="s">
        <v>865</v>
      </c>
      <c r="D716" s="9" t="s">
        <v>4011</v>
      </c>
      <c r="E716" s="9" t="s">
        <v>4012</v>
      </c>
      <c r="F716" s="9" t="s">
        <v>2371</v>
      </c>
      <c r="G716" s="8">
        <v>4.51</v>
      </c>
      <c r="H716" s="8">
        <v>25</v>
      </c>
      <c r="I716" s="8" t="s">
        <v>21</v>
      </c>
    </row>
    <row r="717" spans="1:9" ht="12.5">
      <c r="A717" s="20">
        <v>1979166</v>
      </c>
      <c r="B717" s="9" t="s">
        <v>864</v>
      </c>
      <c r="C717" s="9" t="s">
        <v>865</v>
      </c>
      <c r="D717" s="9" t="s">
        <v>4013</v>
      </c>
      <c r="E717" s="9" t="s">
        <v>4014</v>
      </c>
      <c r="F717" s="9" t="s">
        <v>4015</v>
      </c>
      <c r="G717" s="8">
        <v>4.79</v>
      </c>
      <c r="H717" s="8">
        <v>6.4</v>
      </c>
      <c r="I717" s="8" t="s">
        <v>259</v>
      </c>
    </row>
    <row r="718" spans="1:9" ht="12.5">
      <c r="A718" s="20">
        <v>1775988</v>
      </c>
      <c r="B718" s="9" t="s">
        <v>864</v>
      </c>
      <c r="C718" s="9" t="s">
        <v>899</v>
      </c>
      <c r="D718" s="9" t="s">
        <v>4016</v>
      </c>
      <c r="E718" s="9" t="s">
        <v>4017</v>
      </c>
      <c r="F718" s="9" t="s">
        <v>4018</v>
      </c>
      <c r="G718" s="8">
        <v>4.5199999999999996</v>
      </c>
      <c r="H718" s="8">
        <v>9.6</v>
      </c>
      <c r="I718" s="8" t="s">
        <v>21</v>
      </c>
    </row>
    <row r="719" spans="1:9" ht="12.5">
      <c r="A719" s="20">
        <v>1895624</v>
      </c>
      <c r="B719" s="9" t="s">
        <v>864</v>
      </c>
      <c r="C719" s="9" t="s">
        <v>899</v>
      </c>
      <c r="D719" s="9" t="s">
        <v>4019</v>
      </c>
      <c r="E719" s="9" t="s">
        <v>4020</v>
      </c>
      <c r="F719" s="9" t="s">
        <v>3095</v>
      </c>
      <c r="G719" s="8">
        <v>4.47</v>
      </c>
      <c r="H719" s="8">
        <v>4.9000000000000004</v>
      </c>
      <c r="I719" s="8" t="s">
        <v>21</v>
      </c>
    </row>
    <row r="720" spans="1:9" ht="12.5">
      <c r="A720" s="20">
        <v>1917106</v>
      </c>
      <c r="B720" s="9" t="s">
        <v>864</v>
      </c>
      <c r="C720" s="9" t="s">
        <v>875</v>
      </c>
      <c r="D720" s="9" t="s">
        <v>4021</v>
      </c>
      <c r="E720" s="9" t="s">
        <v>4022</v>
      </c>
      <c r="F720" s="9" t="s">
        <v>4018</v>
      </c>
      <c r="G720" s="8">
        <v>4.66</v>
      </c>
      <c r="H720" s="8">
        <v>8.4</v>
      </c>
      <c r="I720" s="8" t="s">
        <v>21</v>
      </c>
    </row>
    <row r="721" spans="1:9" ht="12.5">
      <c r="A721" s="20">
        <v>1995796</v>
      </c>
      <c r="B721" s="9" t="s">
        <v>864</v>
      </c>
      <c r="C721" s="9" t="s">
        <v>905</v>
      </c>
      <c r="D721" s="9" t="s">
        <v>4023</v>
      </c>
      <c r="E721" s="9" t="s">
        <v>4024</v>
      </c>
      <c r="F721" s="9" t="s">
        <v>4025</v>
      </c>
      <c r="G721" s="8">
        <v>4.74</v>
      </c>
      <c r="H721" s="8">
        <v>15</v>
      </c>
      <c r="I721" s="8" t="s">
        <v>21</v>
      </c>
    </row>
    <row r="722" spans="1:9" ht="12.5">
      <c r="A722" s="20">
        <v>2079320</v>
      </c>
      <c r="B722" s="9" t="s">
        <v>864</v>
      </c>
      <c r="C722" s="9" t="s">
        <v>865</v>
      </c>
      <c r="D722" s="9" t="s">
        <v>4026</v>
      </c>
      <c r="E722" s="9" t="s">
        <v>4027</v>
      </c>
      <c r="F722" s="9" t="s">
        <v>2371</v>
      </c>
      <c r="G722" s="8">
        <v>4.49</v>
      </c>
      <c r="H722" s="8">
        <v>10.199999999999999</v>
      </c>
      <c r="I722" s="8" t="s">
        <v>72</v>
      </c>
    </row>
    <row r="723" spans="1:9" ht="12.5">
      <c r="A723" s="20">
        <v>757446</v>
      </c>
      <c r="B723" s="9" t="s">
        <v>864</v>
      </c>
      <c r="C723" s="9" t="s">
        <v>865</v>
      </c>
      <c r="D723" s="9" t="s">
        <v>4028</v>
      </c>
      <c r="E723" s="9" t="s">
        <v>4029</v>
      </c>
      <c r="F723" s="9" t="s">
        <v>2336</v>
      </c>
      <c r="G723" s="8">
        <v>4.51</v>
      </c>
      <c r="H723" s="8">
        <v>2.2999999999999998</v>
      </c>
      <c r="I723" s="8" t="s">
        <v>21</v>
      </c>
    </row>
    <row r="724" spans="1:9" ht="12.5">
      <c r="A724" s="20">
        <v>3259432</v>
      </c>
      <c r="B724" s="9" t="s">
        <v>864</v>
      </c>
      <c r="C724" s="9" t="s">
        <v>875</v>
      </c>
      <c r="D724" s="9" t="s">
        <v>4030</v>
      </c>
      <c r="E724" s="9" t="s">
        <v>4031</v>
      </c>
      <c r="F724" s="9" t="s">
        <v>4032</v>
      </c>
      <c r="G724" s="8">
        <v>4.55</v>
      </c>
      <c r="H724" s="8">
        <v>8.9</v>
      </c>
      <c r="I724" s="8" t="s">
        <v>17</v>
      </c>
    </row>
    <row r="725" spans="1:9" ht="12.5">
      <c r="A725" s="20">
        <v>1721432</v>
      </c>
      <c r="B725" s="9" t="s">
        <v>864</v>
      </c>
      <c r="C725" s="9" t="s">
        <v>865</v>
      </c>
      <c r="D725" s="9" t="s">
        <v>4033</v>
      </c>
      <c r="E725" s="9" t="s">
        <v>4034</v>
      </c>
      <c r="F725" s="9" t="s">
        <v>3996</v>
      </c>
      <c r="G725" s="8">
        <v>4.58</v>
      </c>
      <c r="H725" s="8">
        <v>9.9</v>
      </c>
      <c r="I725" s="8" t="s">
        <v>21</v>
      </c>
    </row>
    <row r="726" spans="1:9" ht="12.5">
      <c r="A726" s="20">
        <v>3440430</v>
      </c>
      <c r="B726" s="9" t="s">
        <v>864</v>
      </c>
      <c r="C726" s="9" t="s">
        <v>881</v>
      </c>
      <c r="D726" s="9" t="s">
        <v>4035</v>
      </c>
      <c r="E726" s="9" t="s">
        <v>4036</v>
      </c>
      <c r="F726" s="9" t="s">
        <v>4037</v>
      </c>
      <c r="G726" s="8">
        <v>4.72</v>
      </c>
      <c r="H726" s="8">
        <v>0.7</v>
      </c>
      <c r="I726" s="8" t="s">
        <v>21</v>
      </c>
    </row>
    <row r="727" spans="1:9" ht="12.5">
      <c r="A727" s="20">
        <v>2219146</v>
      </c>
      <c r="B727" s="9" t="s">
        <v>913</v>
      </c>
      <c r="C727" s="9" t="s">
        <v>914</v>
      </c>
      <c r="D727" s="9" t="s">
        <v>4038</v>
      </c>
      <c r="E727" s="9" t="s">
        <v>4039</v>
      </c>
      <c r="F727" s="9" t="s">
        <v>4040</v>
      </c>
      <c r="G727" s="8">
        <v>4.57</v>
      </c>
      <c r="H727" s="8">
        <v>17</v>
      </c>
      <c r="I727" s="8" t="s">
        <v>21</v>
      </c>
    </row>
    <row r="728" spans="1:9" ht="12.5">
      <c r="A728" s="20">
        <v>1395358</v>
      </c>
      <c r="B728" s="9" t="s">
        <v>913</v>
      </c>
      <c r="C728" s="9" t="s">
        <v>914</v>
      </c>
      <c r="D728" s="9" t="s">
        <v>4041</v>
      </c>
      <c r="E728" s="9" t="s">
        <v>4042</v>
      </c>
      <c r="F728" s="9" t="s">
        <v>4043</v>
      </c>
      <c r="G728" s="8">
        <v>4.68</v>
      </c>
      <c r="H728" s="8">
        <v>13.3</v>
      </c>
      <c r="I728" s="8" t="s">
        <v>17</v>
      </c>
    </row>
    <row r="729" spans="1:9" ht="12.5">
      <c r="A729" s="20">
        <v>1292876</v>
      </c>
      <c r="B729" s="9" t="s">
        <v>913</v>
      </c>
      <c r="C729" s="9" t="s">
        <v>914</v>
      </c>
      <c r="D729" s="9" t="s">
        <v>4044</v>
      </c>
      <c r="E729" s="9" t="s">
        <v>4045</v>
      </c>
      <c r="F729" s="9" t="s">
        <v>4046</v>
      </c>
      <c r="G729" s="8">
        <v>4.57</v>
      </c>
      <c r="H729" s="8">
        <v>19.399999999999999</v>
      </c>
      <c r="I729" s="8" t="s">
        <v>21</v>
      </c>
    </row>
    <row r="730" spans="1:9" ht="12.5">
      <c r="A730" s="20">
        <v>1719508</v>
      </c>
      <c r="B730" s="9" t="s">
        <v>913</v>
      </c>
      <c r="C730" s="9" t="s">
        <v>4047</v>
      </c>
      <c r="D730" s="9" t="s">
        <v>4048</v>
      </c>
      <c r="E730" s="9" t="s">
        <v>4049</v>
      </c>
      <c r="F730" s="9" t="s">
        <v>4050</v>
      </c>
      <c r="G730" s="8">
        <v>4.74</v>
      </c>
      <c r="H730" s="8">
        <v>8.5</v>
      </c>
      <c r="I730" s="8" t="s">
        <v>21</v>
      </c>
    </row>
    <row r="731" spans="1:9" ht="12.5">
      <c r="A731" s="20">
        <v>2098536</v>
      </c>
      <c r="B731" s="9" t="s">
        <v>913</v>
      </c>
      <c r="C731" s="9" t="s">
        <v>914</v>
      </c>
      <c r="D731" s="9" t="s">
        <v>4051</v>
      </c>
      <c r="E731" s="9" t="s">
        <v>4052</v>
      </c>
      <c r="F731" s="9" t="s">
        <v>4053</v>
      </c>
      <c r="G731" s="8">
        <v>4.49</v>
      </c>
      <c r="H731" s="8">
        <v>12.3</v>
      </c>
      <c r="I731" s="8" t="s">
        <v>21</v>
      </c>
    </row>
    <row r="732" spans="1:9" ht="12.5">
      <c r="A732" s="20">
        <v>1949732</v>
      </c>
      <c r="B732" s="9" t="s">
        <v>913</v>
      </c>
      <c r="C732" s="9" t="s">
        <v>920</v>
      </c>
      <c r="D732" s="9" t="s">
        <v>4054</v>
      </c>
      <c r="E732" s="9" t="s">
        <v>4055</v>
      </c>
      <c r="F732" s="9" t="s">
        <v>3931</v>
      </c>
      <c r="G732" s="8">
        <v>4.66</v>
      </c>
      <c r="H732" s="8">
        <v>2.5</v>
      </c>
      <c r="I732" s="8" t="s">
        <v>21</v>
      </c>
    </row>
    <row r="733" spans="1:9" ht="12.5">
      <c r="A733" s="20">
        <v>2397776</v>
      </c>
      <c r="B733" s="9" t="s">
        <v>913</v>
      </c>
      <c r="C733" s="9" t="s">
        <v>914</v>
      </c>
      <c r="D733" s="9" t="s">
        <v>4056</v>
      </c>
      <c r="E733" s="9" t="s">
        <v>4057</v>
      </c>
      <c r="F733" s="9" t="s">
        <v>4058</v>
      </c>
      <c r="G733" s="8">
        <v>4.29</v>
      </c>
      <c r="H733" s="8">
        <v>1.4</v>
      </c>
      <c r="I733" s="8" t="s">
        <v>72</v>
      </c>
    </row>
    <row r="734" spans="1:9" ht="12.5">
      <c r="A734" s="20">
        <v>1527754</v>
      </c>
      <c r="B734" s="9" t="s">
        <v>913</v>
      </c>
      <c r="C734" s="9" t="s">
        <v>920</v>
      </c>
      <c r="D734" s="9" t="s">
        <v>4059</v>
      </c>
      <c r="E734" s="9" t="s">
        <v>4060</v>
      </c>
      <c r="F734" s="9" t="s">
        <v>2833</v>
      </c>
      <c r="G734" s="8">
        <v>4.59</v>
      </c>
      <c r="H734" s="8">
        <v>12.6</v>
      </c>
      <c r="I734" s="8" t="s">
        <v>21</v>
      </c>
    </row>
    <row r="735" spans="1:9" ht="12.5">
      <c r="A735" s="20">
        <v>1947948</v>
      </c>
      <c r="B735" s="9" t="s">
        <v>913</v>
      </c>
      <c r="C735" s="9" t="s">
        <v>920</v>
      </c>
      <c r="D735" s="9" t="s">
        <v>4061</v>
      </c>
      <c r="E735" s="9" t="s">
        <v>4062</v>
      </c>
      <c r="F735" s="9" t="s">
        <v>4063</v>
      </c>
      <c r="G735" s="8">
        <v>4.62</v>
      </c>
      <c r="H735" s="8">
        <v>10.9</v>
      </c>
      <c r="I735" s="8" t="s">
        <v>21</v>
      </c>
    </row>
    <row r="736" spans="1:9" ht="12.5">
      <c r="A736" s="20">
        <v>1628192</v>
      </c>
      <c r="B736" s="9" t="s">
        <v>913</v>
      </c>
      <c r="C736" s="9" t="s">
        <v>914</v>
      </c>
      <c r="D736" s="9" t="s">
        <v>4064</v>
      </c>
      <c r="E736" s="9" t="s">
        <v>4065</v>
      </c>
      <c r="F736" s="9" t="s">
        <v>4066</v>
      </c>
      <c r="G736" s="8">
        <v>4</v>
      </c>
      <c r="H736" s="8">
        <v>2.4</v>
      </c>
      <c r="I736" s="8" t="s">
        <v>21</v>
      </c>
    </row>
    <row r="737" spans="1:9" ht="12.5">
      <c r="A737" s="20">
        <v>1866020</v>
      </c>
      <c r="B737" s="9" t="s">
        <v>913</v>
      </c>
      <c r="C737" s="9" t="s">
        <v>914</v>
      </c>
      <c r="D737" s="9" t="s">
        <v>4067</v>
      </c>
      <c r="E737" s="9" t="s">
        <v>4068</v>
      </c>
      <c r="F737" s="9" t="s">
        <v>4043</v>
      </c>
      <c r="G737" s="8">
        <v>4.8899999999999997</v>
      </c>
      <c r="H737" s="8">
        <v>10.1</v>
      </c>
      <c r="I737" s="8" t="s">
        <v>17</v>
      </c>
    </row>
    <row r="738" spans="1:9" ht="12.5">
      <c r="A738" s="20">
        <v>641398</v>
      </c>
      <c r="B738" s="9" t="s">
        <v>913</v>
      </c>
      <c r="C738" s="9" t="s">
        <v>920</v>
      </c>
      <c r="D738" s="9" t="s">
        <v>4069</v>
      </c>
      <c r="E738" s="9" t="s">
        <v>4070</v>
      </c>
      <c r="F738" s="9" t="s">
        <v>3941</v>
      </c>
      <c r="G738" s="8">
        <v>4.4000000000000004</v>
      </c>
      <c r="H738" s="8">
        <v>5</v>
      </c>
      <c r="I738" s="8" t="s">
        <v>17</v>
      </c>
    </row>
    <row r="739" spans="1:9" ht="12.5">
      <c r="A739" s="20">
        <v>2164548</v>
      </c>
      <c r="B739" s="9" t="s">
        <v>913</v>
      </c>
      <c r="C739" s="9" t="s">
        <v>914</v>
      </c>
      <c r="D739" s="9" t="s">
        <v>4071</v>
      </c>
      <c r="E739" s="9" t="s">
        <v>4072</v>
      </c>
      <c r="F739" s="9" t="s">
        <v>4073</v>
      </c>
      <c r="G739" s="8">
        <v>4.8899999999999997</v>
      </c>
      <c r="H739" s="8">
        <v>6.1</v>
      </c>
      <c r="I739" s="8" t="s">
        <v>21</v>
      </c>
    </row>
    <row r="740" spans="1:9" ht="12.5">
      <c r="A740" s="20">
        <v>1197280</v>
      </c>
      <c r="B740" s="9" t="s">
        <v>913</v>
      </c>
      <c r="C740" s="9" t="s">
        <v>914</v>
      </c>
      <c r="D740" s="9" t="s">
        <v>4074</v>
      </c>
      <c r="E740" s="9" t="s">
        <v>4075</v>
      </c>
      <c r="F740" s="9" t="s">
        <v>2694</v>
      </c>
      <c r="G740" s="8">
        <v>4.66</v>
      </c>
      <c r="H740" s="8">
        <v>5.5</v>
      </c>
      <c r="I740" s="8" t="s">
        <v>21</v>
      </c>
    </row>
    <row r="741" spans="1:9" ht="12.5">
      <c r="A741" s="20">
        <v>1382156</v>
      </c>
      <c r="B741" s="9" t="s">
        <v>913</v>
      </c>
      <c r="C741" s="9" t="s">
        <v>970</v>
      </c>
      <c r="D741" s="9" t="s">
        <v>4076</v>
      </c>
      <c r="E741" s="9" t="s">
        <v>4077</v>
      </c>
      <c r="F741" s="9" t="s">
        <v>2635</v>
      </c>
      <c r="G741" s="8">
        <v>4.82</v>
      </c>
      <c r="H741" s="8">
        <v>11.2</v>
      </c>
      <c r="I741" s="8" t="s">
        <v>17</v>
      </c>
    </row>
    <row r="742" spans="1:9" ht="12.5">
      <c r="A742" s="20">
        <v>3248294</v>
      </c>
      <c r="B742" s="9" t="s">
        <v>913</v>
      </c>
      <c r="C742" s="9" t="s">
        <v>914</v>
      </c>
      <c r="D742" s="9" t="s">
        <v>4078</v>
      </c>
      <c r="E742" s="9" t="s">
        <v>4079</v>
      </c>
      <c r="F742" s="9" t="s">
        <v>4080</v>
      </c>
      <c r="G742" s="8">
        <v>4.76</v>
      </c>
      <c r="H742" s="8">
        <v>14.2</v>
      </c>
      <c r="I742" s="8" t="s">
        <v>21</v>
      </c>
    </row>
    <row r="743" spans="1:9" ht="12.5">
      <c r="A743" s="20">
        <v>950106</v>
      </c>
      <c r="B743" s="9" t="s">
        <v>913</v>
      </c>
      <c r="C743" s="9" t="s">
        <v>920</v>
      </c>
      <c r="D743" s="9" t="s">
        <v>4081</v>
      </c>
      <c r="E743" s="9" t="s">
        <v>4082</v>
      </c>
      <c r="F743" s="9" t="s">
        <v>3941</v>
      </c>
      <c r="G743" s="8">
        <v>4.3600000000000003</v>
      </c>
      <c r="H743" s="8">
        <v>1.1000000000000001</v>
      </c>
      <c r="I743" s="8" t="s">
        <v>17</v>
      </c>
    </row>
    <row r="744" spans="1:9" ht="12.5">
      <c r="A744" s="20">
        <v>983670</v>
      </c>
      <c r="B744" s="9" t="s">
        <v>913</v>
      </c>
      <c r="C744" s="9" t="s">
        <v>914</v>
      </c>
      <c r="D744" s="9" t="s">
        <v>4083</v>
      </c>
      <c r="E744" s="9" t="s">
        <v>4084</v>
      </c>
      <c r="F744" s="9" t="s">
        <v>4085</v>
      </c>
      <c r="G744" s="8">
        <v>4.51</v>
      </c>
      <c r="H744" s="8">
        <v>2.6</v>
      </c>
      <c r="I744" s="8" t="s">
        <v>21</v>
      </c>
    </row>
    <row r="745" spans="1:9" ht="12.5">
      <c r="A745" s="20">
        <v>2308752</v>
      </c>
      <c r="B745" s="9" t="s">
        <v>913</v>
      </c>
      <c r="C745" s="9" t="s">
        <v>946</v>
      </c>
      <c r="D745" s="9" t="s">
        <v>4086</v>
      </c>
      <c r="E745" s="9" t="s">
        <v>4087</v>
      </c>
      <c r="F745" s="9" t="s">
        <v>4088</v>
      </c>
      <c r="G745" s="8">
        <v>4.4400000000000004</v>
      </c>
      <c r="H745" s="8">
        <v>3.4</v>
      </c>
      <c r="I745" s="8" t="s">
        <v>17</v>
      </c>
    </row>
    <row r="746" spans="1:9" ht="12.5">
      <c r="A746" s="20">
        <v>2272426</v>
      </c>
      <c r="B746" s="9" t="s">
        <v>913</v>
      </c>
      <c r="C746" s="9" t="s">
        <v>914</v>
      </c>
      <c r="D746" s="9" t="s">
        <v>4089</v>
      </c>
      <c r="E746" s="9" t="s">
        <v>4090</v>
      </c>
      <c r="F746" s="9" t="s">
        <v>4091</v>
      </c>
      <c r="G746" s="8">
        <v>4.57</v>
      </c>
      <c r="H746" s="8">
        <v>6.3</v>
      </c>
      <c r="I746" s="8" t="s">
        <v>21</v>
      </c>
    </row>
    <row r="747" spans="1:9" ht="12.5">
      <c r="A747" s="20">
        <v>864768</v>
      </c>
      <c r="B747" s="9" t="s">
        <v>913</v>
      </c>
      <c r="C747" s="9" t="s">
        <v>920</v>
      </c>
      <c r="D747" s="9" t="s">
        <v>4092</v>
      </c>
      <c r="E747" s="9" t="s">
        <v>4093</v>
      </c>
      <c r="F747" s="9" t="s">
        <v>4094</v>
      </c>
      <c r="G747" s="8">
        <v>4.3600000000000003</v>
      </c>
      <c r="H747" s="8">
        <v>5.0999999999999996</v>
      </c>
      <c r="I747" s="8" t="s">
        <v>21</v>
      </c>
    </row>
    <row r="748" spans="1:9" ht="12.5">
      <c r="A748" s="20">
        <v>619998</v>
      </c>
      <c r="B748" s="9" t="s">
        <v>913</v>
      </c>
      <c r="C748" s="9" t="s">
        <v>946</v>
      </c>
      <c r="D748" s="9" t="s">
        <v>4095</v>
      </c>
      <c r="E748" s="9" t="s">
        <v>4096</v>
      </c>
      <c r="F748" s="9" t="s">
        <v>4097</v>
      </c>
      <c r="G748" s="8">
        <v>4.5999999999999996</v>
      </c>
      <c r="H748" s="8">
        <v>4.0999999999999996</v>
      </c>
      <c r="I748" s="8" t="s">
        <v>17</v>
      </c>
    </row>
    <row r="749" spans="1:9" ht="12.5">
      <c r="A749" s="20">
        <v>1401254</v>
      </c>
      <c r="B749" s="9" t="s">
        <v>913</v>
      </c>
      <c r="C749" s="9" t="s">
        <v>914</v>
      </c>
      <c r="D749" s="9" t="s">
        <v>4098</v>
      </c>
      <c r="E749" s="9" t="s">
        <v>4099</v>
      </c>
      <c r="F749" s="9" t="s">
        <v>4100</v>
      </c>
      <c r="G749" s="8">
        <v>4.46</v>
      </c>
      <c r="H749" s="8">
        <v>4.5999999999999996</v>
      </c>
      <c r="I749" s="8" t="s">
        <v>21</v>
      </c>
    </row>
    <row r="750" spans="1:9" ht="12.5">
      <c r="A750" s="20">
        <v>1246796</v>
      </c>
      <c r="B750" s="9" t="s">
        <v>913</v>
      </c>
      <c r="C750" s="9" t="s">
        <v>914</v>
      </c>
      <c r="D750" s="9" t="s">
        <v>4101</v>
      </c>
      <c r="E750" s="9" t="s">
        <v>4102</v>
      </c>
      <c r="F750" s="9" t="s">
        <v>4103</v>
      </c>
      <c r="G750" s="8">
        <v>4.67</v>
      </c>
      <c r="H750" s="8">
        <v>5.4</v>
      </c>
      <c r="I750" s="8" t="s">
        <v>17</v>
      </c>
    </row>
    <row r="751" spans="1:9" ht="12.5">
      <c r="A751" s="20">
        <v>1555278</v>
      </c>
      <c r="B751" s="9" t="s">
        <v>913</v>
      </c>
      <c r="C751" s="9" t="s">
        <v>914</v>
      </c>
      <c r="D751" s="9" t="s">
        <v>4104</v>
      </c>
      <c r="E751" s="9" t="s">
        <v>4105</v>
      </c>
      <c r="F751" s="9" t="s">
        <v>4106</v>
      </c>
      <c r="G751" s="8">
        <v>4.66</v>
      </c>
      <c r="H751" s="8">
        <v>2.4</v>
      </c>
      <c r="I751" s="8" t="s">
        <v>17</v>
      </c>
    </row>
    <row r="752" spans="1:9" ht="12.5">
      <c r="A752" s="20">
        <v>2141332</v>
      </c>
      <c r="B752" s="9" t="s">
        <v>913</v>
      </c>
      <c r="C752" s="9" t="s">
        <v>970</v>
      </c>
      <c r="D752" s="9" t="s">
        <v>4107</v>
      </c>
      <c r="E752" s="9" t="s">
        <v>4108</v>
      </c>
      <c r="F752" s="9" t="s">
        <v>4109</v>
      </c>
      <c r="G752" s="8">
        <v>4.55</v>
      </c>
      <c r="H752" s="8">
        <v>10.8</v>
      </c>
      <c r="I752" s="8" t="s">
        <v>21</v>
      </c>
    </row>
    <row r="753" spans="1:9" ht="12.5">
      <c r="A753" s="20">
        <v>2361686</v>
      </c>
      <c r="B753" s="9" t="s">
        <v>913</v>
      </c>
      <c r="C753" s="9" t="s">
        <v>914</v>
      </c>
      <c r="D753" s="9" t="s">
        <v>4110</v>
      </c>
      <c r="E753" s="9" t="s">
        <v>4111</v>
      </c>
      <c r="F753" s="9" t="s">
        <v>2352</v>
      </c>
      <c r="G753" s="8">
        <v>4.99</v>
      </c>
      <c r="H753" s="8">
        <v>7.5</v>
      </c>
      <c r="I753" s="8" t="s">
        <v>21</v>
      </c>
    </row>
    <row r="754" spans="1:9" ht="12.5">
      <c r="A754" s="20">
        <v>1581466</v>
      </c>
      <c r="B754" s="9" t="s">
        <v>913</v>
      </c>
      <c r="C754" s="9" t="s">
        <v>914</v>
      </c>
      <c r="D754" s="9" t="s">
        <v>4112</v>
      </c>
      <c r="E754" s="9" t="s">
        <v>4113</v>
      </c>
      <c r="F754" s="9" t="s">
        <v>4114</v>
      </c>
      <c r="G754" s="8">
        <v>4.72</v>
      </c>
      <c r="H754" s="8">
        <v>8.3000000000000007</v>
      </c>
      <c r="I754" s="8" t="s">
        <v>21</v>
      </c>
    </row>
    <row r="755" spans="1:9" ht="12.5">
      <c r="A755" s="20">
        <v>983258</v>
      </c>
      <c r="B755" s="9" t="s">
        <v>913</v>
      </c>
      <c r="C755" s="9" t="s">
        <v>946</v>
      </c>
      <c r="D755" s="9" t="s">
        <v>4115</v>
      </c>
      <c r="E755" s="9" t="s">
        <v>4116</v>
      </c>
      <c r="F755" s="9" t="s">
        <v>4117</v>
      </c>
      <c r="G755" s="8">
        <v>4.92</v>
      </c>
      <c r="H755" s="8">
        <v>4.8</v>
      </c>
      <c r="I755" s="8" t="s">
        <v>21</v>
      </c>
    </row>
    <row r="756" spans="1:9" ht="12.5">
      <c r="A756" s="20">
        <v>1306760</v>
      </c>
      <c r="B756" s="9" t="s">
        <v>913</v>
      </c>
      <c r="C756" s="9" t="s">
        <v>914</v>
      </c>
      <c r="D756" s="9" t="s">
        <v>4118</v>
      </c>
      <c r="E756" s="9" t="s">
        <v>4119</v>
      </c>
      <c r="F756" s="9" t="s">
        <v>4120</v>
      </c>
      <c r="G756" s="8">
        <v>4.51</v>
      </c>
      <c r="H756" s="8">
        <v>3.8</v>
      </c>
      <c r="I756" s="8" t="s">
        <v>21</v>
      </c>
    </row>
    <row r="757" spans="1:9" ht="12.5">
      <c r="A757" s="20">
        <v>358456</v>
      </c>
      <c r="B757" s="9" t="s">
        <v>913</v>
      </c>
      <c r="C757" s="9" t="s">
        <v>946</v>
      </c>
      <c r="D757" s="9" t="s">
        <v>4121</v>
      </c>
      <c r="E757" s="9" t="s">
        <v>4122</v>
      </c>
      <c r="F757" s="9" t="s">
        <v>4117</v>
      </c>
      <c r="G757" s="8">
        <v>5</v>
      </c>
      <c r="H757" s="8">
        <v>8.9</v>
      </c>
      <c r="I757" s="8" t="s">
        <v>17</v>
      </c>
    </row>
    <row r="758" spans="1:9" ht="12.5">
      <c r="A758" s="20">
        <v>2017662</v>
      </c>
      <c r="B758" s="9" t="s">
        <v>913</v>
      </c>
      <c r="C758" s="9" t="s">
        <v>914</v>
      </c>
      <c r="D758" s="9" t="s">
        <v>4123</v>
      </c>
      <c r="E758" s="9" t="s">
        <v>4124</v>
      </c>
      <c r="F758" s="9" t="s">
        <v>925</v>
      </c>
      <c r="G758" s="8">
        <v>4.5</v>
      </c>
      <c r="H758" s="8">
        <v>1.8</v>
      </c>
      <c r="I758" s="8" t="s">
        <v>17</v>
      </c>
    </row>
    <row r="759" spans="1:9" ht="12.5">
      <c r="A759" s="20">
        <v>1676602</v>
      </c>
      <c r="B759" s="9" t="s">
        <v>913</v>
      </c>
      <c r="C759" s="9" t="s">
        <v>920</v>
      </c>
      <c r="D759" s="9" t="s">
        <v>4125</v>
      </c>
      <c r="E759" s="9" t="s">
        <v>4126</v>
      </c>
      <c r="F759" s="9" t="s">
        <v>2681</v>
      </c>
      <c r="G759" s="8">
        <v>4.6399999999999997</v>
      </c>
      <c r="H759" s="8">
        <v>16.7</v>
      </c>
      <c r="I759" s="8" t="s">
        <v>21</v>
      </c>
    </row>
    <row r="760" spans="1:9" ht="12.5">
      <c r="A760" s="20">
        <v>1845704</v>
      </c>
      <c r="B760" s="9" t="s">
        <v>913</v>
      </c>
      <c r="C760" s="9" t="s">
        <v>920</v>
      </c>
      <c r="D760" s="9" t="s">
        <v>4127</v>
      </c>
      <c r="E760" s="9" t="s">
        <v>4128</v>
      </c>
      <c r="F760" s="9" t="s">
        <v>3931</v>
      </c>
      <c r="G760" s="8">
        <v>4.67</v>
      </c>
      <c r="H760" s="8">
        <v>2.2000000000000002</v>
      </c>
      <c r="I760" s="8" t="s">
        <v>21</v>
      </c>
    </row>
    <row r="761" spans="1:9" ht="12.5">
      <c r="A761" s="20">
        <v>2055331</v>
      </c>
      <c r="B761" s="9" t="s">
        <v>913</v>
      </c>
      <c r="C761" s="9" t="s">
        <v>914</v>
      </c>
      <c r="D761" s="9" t="s">
        <v>4129</v>
      </c>
      <c r="E761" s="9" t="s">
        <v>4130</v>
      </c>
      <c r="F761" s="9" t="s">
        <v>2365</v>
      </c>
      <c r="G761" s="8">
        <v>4.76</v>
      </c>
      <c r="H761" s="8">
        <v>7.6</v>
      </c>
      <c r="I761" s="8" t="s">
        <v>21</v>
      </c>
    </row>
    <row r="762" spans="1:9" ht="12.5">
      <c r="A762" s="20">
        <v>3123792</v>
      </c>
      <c r="B762" s="9" t="s">
        <v>913</v>
      </c>
      <c r="C762" s="9" t="s">
        <v>920</v>
      </c>
      <c r="D762" s="9" t="s">
        <v>4131</v>
      </c>
      <c r="E762" s="9" t="s">
        <v>4132</v>
      </c>
      <c r="F762" s="9" t="s">
        <v>3680</v>
      </c>
      <c r="G762" s="8">
        <v>4.62</v>
      </c>
      <c r="H762" s="8">
        <v>4.0999999999999996</v>
      </c>
      <c r="I762" s="8" t="s">
        <v>17</v>
      </c>
    </row>
    <row r="763" spans="1:9" ht="12.5">
      <c r="A763" s="20">
        <v>1827468</v>
      </c>
      <c r="B763" s="9" t="s">
        <v>913</v>
      </c>
      <c r="C763" s="9" t="s">
        <v>914</v>
      </c>
      <c r="D763" s="9" t="s">
        <v>4133</v>
      </c>
      <c r="E763" s="9" t="s">
        <v>4134</v>
      </c>
      <c r="F763" s="9" t="s">
        <v>4114</v>
      </c>
      <c r="G763" s="8">
        <v>4.59</v>
      </c>
      <c r="H763" s="8">
        <v>3.1</v>
      </c>
      <c r="I763" s="8" t="s">
        <v>72</v>
      </c>
    </row>
    <row r="764" spans="1:9" ht="12.5">
      <c r="A764" s="20">
        <v>1980224</v>
      </c>
      <c r="B764" s="9" t="s">
        <v>913</v>
      </c>
      <c r="C764" s="9" t="s">
        <v>956</v>
      </c>
      <c r="D764" s="9" t="s">
        <v>4135</v>
      </c>
      <c r="E764" s="9" t="s">
        <v>4136</v>
      </c>
      <c r="F764" s="9" t="s">
        <v>4137</v>
      </c>
      <c r="G764" s="8">
        <v>4.83</v>
      </c>
      <c r="H764" s="8">
        <v>11.1</v>
      </c>
      <c r="I764" s="8" t="s">
        <v>21</v>
      </c>
    </row>
    <row r="765" spans="1:9" ht="12.5">
      <c r="A765" s="20">
        <v>2100120</v>
      </c>
      <c r="B765" s="9" t="s">
        <v>913</v>
      </c>
      <c r="C765" s="9" t="s">
        <v>920</v>
      </c>
      <c r="D765" s="9" t="s">
        <v>4138</v>
      </c>
      <c r="E765" s="9" t="s">
        <v>4139</v>
      </c>
      <c r="F765" s="9" t="s">
        <v>2452</v>
      </c>
      <c r="G765" s="8">
        <v>4.22</v>
      </c>
      <c r="H765" s="8">
        <v>5.0999999999999996</v>
      </c>
      <c r="I765" s="8" t="s">
        <v>21</v>
      </c>
    </row>
    <row r="766" spans="1:9" ht="12.5">
      <c r="A766" s="20">
        <v>60173</v>
      </c>
      <c r="B766" s="9" t="s">
        <v>913</v>
      </c>
      <c r="C766" s="9" t="s">
        <v>920</v>
      </c>
      <c r="D766" s="9" t="s">
        <v>4140</v>
      </c>
      <c r="E766" s="9" t="s">
        <v>4141</v>
      </c>
      <c r="F766" s="9" t="s">
        <v>4142</v>
      </c>
      <c r="G766" s="8">
        <v>4.55</v>
      </c>
      <c r="H766" s="8">
        <v>1.4</v>
      </c>
      <c r="I766" s="8" t="s">
        <v>21</v>
      </c>
    </row>
    <row r="767" spans="1:9" ht="12.5">
      <c r="A767" s="20">
        <v>1096370</v>
      </c>
      <c r="B767" s="9" t="s">
        <v>913</v>
      </c>
      <c r="C767" s="9" t="s">
        <v>946</v>
      </c>
      <c r="D767" s="9" t="s">
        <v>4143</v>
      </c>
      <c r="E767" s="9" t="s">
        <v>4144</v>
      </c>
      <c r="F767" s="9" t="s">
        <v>1015</v>
      </c>
      <c r="G767" s="8">
        <v>4.5599999999999996</v>
      </c>
      <c r="H767" s="8">
        <v>1.1000000000000001</v>
      </c>
      <c r="I767" s="8" t="s">
        <v>72</v>
      </c>
    </row>
    <row r="768" spans="1:9" ht="12.5">
      <c r="A768" s="20">
        <v>2581870</v>
      </c>
      <c r="B768" s="9" t="s">
        <v>913</v>
      </c>
      <c r="C768" s="9" t="s">
        <v>970</v>
      </c>
      <c r="D768" s="9" t="s">
        <v>4145</v>
      </c>
      <c r="E768" s="9" t="s">
        <v>4146</v>
      </c>
      <c r="F768" s="9" t="s">
        <v>3703</v>
      </c>
      <c r="G768" s="8">
        <v>4.87</v>
      </c>
      <c r="H768" s="8">
        <v>2.9</v>
      </c>
      <c r="I768" s="8" t="s">
        <v>21</v>
      </c>
    </row>
    <row r="769" spans="1:9" ht="12.5">
      <c r="A769" s="20">
        <v>1021106</v>
      </c>
      <c r="B769" s="9" t="s">
        <v>913</v>
      </c>
      <c r="C769" s="9" t="s">
        <v>956</v>
      </c>
      <c r="D769" s="9" t="s">
        <v>4147</v>
      </c>
      <c r="E769" s="9" t="s">
        <v>4148</v>
      </c>
      <c r="F769" s="9" t="s">
        <v>4149</v>
      </c>
      <c r="G769" s="8">
        <v>4.58</v>
      </c>
      <c r="H769" s="8">
        <v>1.6</v>
      </c>
      <c r="I769" s="8" t="s">
        <v>17</v>
      </c>
    </row>
    <row r="770" spans="1:9" ht="12.5">
      <c r="A770" s="20">
        <v>2175830</v>
      </c>
      <c r="B770" s="9" t="s">
        <v>913</v>
      </c>
      <c r="C770" s="9" t="s">
        <v>970</v>
      </c>
      <c r="D770" s="9" t="s">
        <v>4150</v>
      </c>
      <c r="E770" s="9" t="s">
        <v>4151</v>
      </c>
      <c r="F770" s="9" t="s">
        <v>3703</v>
      </c>
      <c r="G770" s="8">
        <v>4.5</v>
      </c>
      <c r="H770" s="8">
        <v>4.4000000000000004</v>
      </c>
      <c r="I770" s="8" t="s">
        <v>21</v>
      </c>
    </row>
    <row r="771" spans="1:9" ht="12.5">
      <c r="A771" s="20">
        <v>2846526</v>
      </c>
      <c r="B771" s="9" t="s">
        <v>913</v>
      </c>
      <c r="C771" s="9" t="s">
        <v>914</v>
      </c>
      <c r="D771" s="9" t="s">
        <v>4152</v>
      </c>
      <c r="E771" s="9" t="s">
        <v>4153</v>
      </c>
      <c r="F771" s="9" t="s">
        <v>4154</v>
      </c>
      <c r="G771" s="8">
        <v>4.75</v>
      </c>
      <c r="H771" s="8">
        <v>3.5</v>
      </c>
      <c r="I771" s="8" t="s">
        <v>17</v>
      </c>
    </row>
    <row r="772" spans="1:9" ht="12.5">
      <c r="A772" s="20">
        <v>2559308</v>
      </c>
      <c r="B772" s="9" t="s">
        <v>913</v>
      </c>
      <c r="C772" s="9" t="s">
        <v>914</v>
      </c>
      <c r="D772" s="9" t="s">
        <v>4155</v>
      </c>
      <c r="E772" s="9" t="s">
        <v>4156</v>
      </c>
      <c r="F772" s="9" t="s">
        <v>4106</v>
      </c>
      <c r="G772" s="8">
        <v>4.68</v>
      </c>
      <c r="H772" s="8">
        <v>5.5</v>
      </c>
      <c r="I772" s="8" t="s">
        <v>17</v>
      </c>
    </row>
    <row r="773" spans="1:9" ht="12.5">
      <c r="A773" s="20">
        <v>1199862</v>
      </c>
      <c r="B773" s="9" t="s">
        <v>1034</v>
      </c>
      <c r="C773" s="9" t="s">
        <v>1035</v>
      </c>
      <c r="D773" s="9" t="s">
        <v>4157</v>
      </c>
      <c r="E773" s="9" t="s">
        <v>4158</v>
      </c>
      <c r="F773" s="9" t="s">
        <v>2833</v>
      </c>
      <c r="G773" s="8">
        <v>4.6500000000000004</v>
      </c>
      <c r="H773" s="8">
        <v>6.8</v>
      </c>
      <c r="I773" s="8" t="s">
        <v>21</v>
      </c>
    </row>
    <row r="774" spans="1:9" ht="12.5">
      <c r="A774" s="20">
        <v>1030206</v>
      </c>
      <c r="B774" s="9" t="s">
        <v>1034</v>
      </c>
      <c r="C774" s="9" t="s">
        <v>1043</v>
      </c>
      <c r="D774" s="9" t="s">
        <v>4159</v>
      </c>
      <c r="E774" s="9" t="s">
        <v>4160</v>
      </c>
      <c r="F774" s="9" t="s">
        <v>3677</v>
      </c>
      <c r="G774" s="8">
        <v>4.5599999999999996</v>
      </c>
      <c r="H774" s="8">
        <v>10.7</v>
      </c>
      <c r="I774" s="8" t="s">
        <v>72</v>
      </c>
    </row>
    <row r="775" spans="1:9" ht="12.5">
      <c r="A775" s="20">
        <v>856486</v>
      </c>
      <c r="B775" s="9" t="s">
        <v>1034</v>
      </c>
      <c r="C775" s="9" t="s">
        <v>1035</v>
      </c>
      <c r="D775" s="9" t="s">
        <v>4161</v>
      </c>
      <c r="E775" s="9" t="s">
        <v>4162</v>
      </c>
      <c r="F775" s="9" t="s">
        <v>3677</v>
      </c>
      <c r="G775" s="8">
        <v>4.76</v>
      </c>
      <c r="H775" s="8">
        <v>1.2</v>
      </c>
      <c r="I775" s="8" t="s">
        <v>21</v>
      </c>
    </row>
    <row r="776" spans="1:9" ht="12.5">
      <c r="A776" s="20">
        <v>1946194</v>
      </c>
      <c r="B776" s="9" t="s">
        <v>1034</v>
      </c>
      <c r="C776" s="9" t="s">
        <v>1035</v>
      </c>
      <c r="D776" s="9" t="s">
        <v>4163</v>
      </c>
      <c r="E776" s="9" t="s">
        <v>4164</v>
      </c>
      <c r="F776" s="9" t="s">
        <v>3677</v>
      </c>
      <c r="G776" s="8">
        <v>4.53</v>
      </c>
      <c r="H776" s="8">
        <v>7.7</v>
      </c>
      <c r="I776" s="8" t="s">
        <v>21</v>
      </c>
    </row>
    <row r="777" spans="1:9" ht="12.5">
      <c r="A777" s="20">
        <v>2132906</v>
      </c>
      <c r="B777" s="9" t="s">
        <v>1034</v>
      </c>
      <c r="C777" s="9" t="s">
        <v>1035</v>
      </c>
      <c r="D777" s="9" t="s">
        <v>4165</v>
      </c>
      <c r="E777" s="9" t="s">
        <v>4166</v>
      </c>
      <c r="F777" s="9" t="s">
        <v>3677</v>
      </c>
      <c r="G777" s="8">
        <v>4.68</v>
      </c>
      <c r="H777" s="8">
        <v>6.3</v>
      </c>
      <c r="I777" s="8" t="s">
        <v>72</v>
      </c>
    </row>
    <row r="778" spans="1:9" ht="12.5">
      <c r="A778" s="20">
        <v>1886084</v>
      </c>
      <c r="B778" s="9" t="s">
        <v>1034</v>
      </c>
      <c r="C778" s="9" t="s">
        <v>1050</v>
      </c>
      <c r="D778" s="9" t="s">
        <v>4167</v>
      </c>
      <c r="E778" s="9" t="s">
        <v>4168</v>
      </c>
      <c r="F778" s="9" t="s">
        <v>4169</v>
      </c>
      <c r="G778" s="8">
        <v>4.42</v>
      </c>
      <c r="H778" s="8">
        <v>30.5</v>
      </c>
      <c r="I778" s="8" t="s">
        <v>21</v>
      </c>
    </row>
    <row r="779" spans="1:9" ht="12.5">
      <c r="A779" s="20">
        <v>1412620</v>
      </c>
      <c r="B779" s="9" t="s">
        <v>1034</v>
      </c>
      <c r="C779" s="9" t="s">
        <v>1040</v>
      </c>
      <c r="D779" s="9" t="s">
        <v>4170</v>
      </c>
      <c r="E779" s="9" t="s">
        <v>4171</v>
      </c>
      <c r="F779" s="9" t="s">
        <v>3700</v>
      </c>
      <c r="G779" s="8">
        <v>4.67</v>
      </c>
      <c r="H779" s="8">
        <v>6.7</v>
      </c>
      <c r="I779" s="8" t="s">
        <v>17</v>
      </c>
    </row>
    <row r="780" spans="1:9" ht="12.5">
      <c r="A780" s="20">
        <v>1518650</v>
      </c>
      <c r="B780" s="9" t="s">
        <v>1034</v>
      </c>
      <c r="C780" s="9" t="s">
        <v>1043</v>
      </c>
      <c r="D780" s="9" t="s">
        <v>4172</v>
      </c>
      <c r="E780" s="9" t="s">
        <v>4173</v>
      </c>
      <c r="F780" s="9" t="s">
        <v>4174</v>
      </c>
      <c r="G780" s="8">
        <v>4.6500000000000004</v>
      </c>
      <c r="H780" s="8">
        <v>10.4</v>
      </c>
      <c r="I780" s="8" t="s">
        <v>17</v>
      </c>
    </row>
    <row r="781" spans="1:9" ht="12.5">
      <c r="A781" s="20">
        <v>2202148</v>
      </c>
      <c r="B781" s="9" t="s">
        <v>1034</v>
      </c>
      <c r="C781" s="9" t="s">
        <v>1035</v>
      </c>
      <c r="D781" s="9" t="s">
        <v>4175</v>
      </c>
      <c r="E781" s="9" t="s">
        <v>4176</v>
      </c>
      <c r="F781" s="9" t="s">
        <v>4177</v>
      </c>
      <c r="G781" s="8">
        <v>4.67</v>
      </c>
      <c r="H781" s="8">
        <v>7.9</v>
      </c>
      <c r="I781" s="8" t="s">
        <v>21</v>
      </c>
    </row>
    <row r="782" spans="1:9" ht="12.5">
      <c r="A782" s="20">
        <v>2705306</v>
      </c>
      <c r="B782" s="9" t="s">
        <v>1034</v>
      </c>
      <c r="C782" s="9" t="s">
        <v>1035</v>
      </c>
      <c r="D782" s="9" t="s">
        <v>4178</v>
      </c>
      <c r="E782" s="9" t="s">
        <v>4179</v>
      </c>
      <c r="F782" s="9" t="s">
        <v>4180</v>
      </c>
      <c r="G782" s="8">
        <v>4.58</v>
      </c>
      <c r="H782" s="8">
        <v>2.9</v>
      </c>
      <c r="I782" s="8" t="s">
        <v>21</v>
      </c>
    </row>
    <row r="783" spans="1:9" ht="12.5">
      <c r="A783" s="20">
        <v>2807679</v>
      </c>
      <c r="B783" s="9" t="s">
        <v>1034</v>
      </c>
      <c r="C783" s="9" t="s">
        <v>1050</v>
      </c>
      <c r="D783" s="9" t="s">
        <v>4181</v>
      </c>
      <c r="E783" s="9" t="s">
        <v>4182</v>
      </c>
      <c r="F783" s="9" t="s">
        <v>4183</v>
      </c>
      <c r="G783" s="8">
        <v>4.41</v>
      </c>
      <c r="H783" s="8">
        <v>5</v>
      </c>
      <c r="I783" s="8" t="s">
        <v>21</v>
      </c>
    </row>
    <row r="784" spans="1:9" ht="12.5">
      <c r="A784" s="20">
        <v>2318230</v>
      </c>
      <c r="B784" s="9" t="s">
        <v>1034</v>
      </c>
      <c r="C784" s="9" t="s">
        <v>1043</v>
      </c>
      <c r="D784" s="9" t="s">
        <v>4184</v>
      </c>
      <c r="E784" s="9" t="s">
        <v>4185</v>
      </c>
      <c r="F784" s="9" t="s">
        <v>4186</v>
      </c>
      <c r="G784" s="8">
        <v>4.58</v>
      </c>
      <c r="H784" s="11"/>
      <c r="I784" s="8" t="s">
        <v>72</v>
      </c>
    </row>
    <row r="785" spans="1:9" ht="12.5">
      <c r="A785" s="20">
        <v>1736556</v>
      </c>
      <c r="B785" s="9" t="s">
        <v>1034</v>
      </c>
      <c r="C785" s="9" t="s">
        <v>1040</v>
      </c>
      <c r="D785" s="9" t="s">
        <v>4187</v>
      </c>
      <c r="E785" s="9" t="s">
        <v>4188</v>
      </c>
      <c r="F785" s="9" t="s">
        <v>4189</v>
      </c>
      <c r="G785" s="8">
        <v>4.29</v>
      </c>
      <c r="H785" s="8">
        <v>21.3</v>
      </c>
      <c r="I785" s="8" t="s">
        <v>21</v>
      </c>
    </row>
    <row r="786" spans="1:9" ht="12.5">
      <c r="A786" s="20">
        <v>3595370</v>
      </c>
      <c r="B786" s="9" t="s">
        <v>1034</v>
      </c>
      <c r="C786" s="9" t="s">
        <v>1035</v>
      </c>
      <c r="D786" s="9" t="s">
        <v>4190</v>
      </c>
      <c r="E786" s="9" t="s">
        <v>4191</v>
      </c>
      <c r="F786" s="9" t="s">
        <v>3677</v>
      </c>
      <c r="G786" s="8">
        <v>4.6399999999999997</v>
      </c>
      <c r="H786" s="8">
        <v>6.7</v>
      </c>
      <c r="I786" s="8" t="s">
        <v>72</v>
      </c>
    </row>
    <row r="787" spans="1:9" ht="12.5">
      <c r="A787" s="20">
        <v>1605576</v>
      </c>
      <c r="B787" s="9" t="s">
        <v>1034</v>
      </c>
      <c r="C787" s="9" t="s">
        <v>1043</v>
      </c>
      <c r="D787" s="9" t="s">
        <v>4192</v>
      </c>
      <c r="E787" s="9" t="s">
        <v>4193</v>
      </c>
      <c r="F787" s="9" t="s">
        <v>3677</v>
      </c>
      <c r="G787" s="8">
        <v>4.6500000000000004</v>
      </c>
      <c r="H787" s="8">
        <v>23.2</v>
      </c>
      <c r="I787" s="8" t="s">
        <v>72</v>
      </c>
    </row>
    <row r="788" spans="1:9" ht="12.5">
      <c r="A788" s="20">
        <v>1300540</v>
      </c>
      <c r="B788" s="9" t="s">
        <v>1034</v>
      </c>
      <c r="C788" s="9" t="s">
        <v>1050</v>
      </c>
      <c r="D788" s="9" t="s">
        <v>4194</v>
      </c>
      <c r="E788" s="9" t="s">
        <v>4195</v>
      </c>
      <c r="F788" s="9" t="s">
        <v>4196</v>
      </c>
      <c r="G788" s="8">
        <v>4.7</v>
      </c>
      <c r="H788" s="8">
        <v>4.7</v>
      </c>
      <c r="I788" s="8" t="s">
        <v>21</v>
      </c>
    </row>
    <row r="789" spans="1:9" ht="12.5">
      <c r="A789" s="20">
        <v>596812</v>
      </c>
      <c r="B789" s="9" t="s">
        <v>1034</v>
      </c>
      <c r="C789" s="9" t="s">
        <v>1040</v>
      </c>
      <c r="D789" s="9" t="s">
        <v>4197</v>
      </c>
      <c r="E789" s="9" t="s">
        <v>4198</v>
      </c>
      <c r="F789" s="9" t="s">
        <v>3700</v>
      </c>
      <c r="G789" s="8">
        <v>4.54</v>
      </c>
      <c r="H789" s="8">
        <v>18.8</v>
      </c>
      <c r="I789" s="8" t="s">
        <v>259</v>
      </c>
    </row>
    <row r="790" spans="1:9" ht="12.5">
      <c r="A790" s="20">
        <v>2055651</v>
      </c>
      <c r="B790" s="9" t="s">
        <v>1034</v>
      </c>
      <c r="C790" s="9" t="s">
        <v>1035</v>
      </c>
      <c r="D790" s="9" t="s">
        <v>4199</v>
      </c>
      <c r="E790" s="9" t="s">
        <v>4200</v>
      </c>
      <c r="F790" s="9" t="s">
        <v>3677</v>
      </c>
      <c r="G790" s="8">
        <v>4.46</v>
      </c>
      <c r="H790" s="8">
        <v>5</v>
      </c>
      <c r="I790" s="8" t="s">
        <v>72</v>
      </c>
    </row>
    <row r="791" spans="1:9" ht="12.5">
      <c r="A791" s="20">
        <v>1062626</v>
      </c>
      <c r="B791" s="9" t="s">
        <v>1034</v>
      </c>
      <c r="C791" s="9" t="s">
        <v>1047</v>
      </c>
      <c r="D791" s="9" t="s">
        <v>4201</v>
      </c>
      <c r="E791" s="9" t="s">
        <v>4202</v>
      </c>
      <c r="F791" s="9" t="s">
        <v>2833</v>
      </c>
      <c r="G791" s="8">
        <v>4.51</v>
      </c>
      <c r="H791" s="8">
        <v>7</v>
      </c>
      <c r="I791" s="8" t="s">
        <v>21</v>
      </c>
    </row>
    <row r="792" spans="1:9" ht="12.5">
      <c r="A792" s="20">
        <v>1497942</v>
      </c>
      <c r="B792" s="9" t="s">
        <v>1034</v>
      </c>
      <c r="C792" s="9" t="s">
        <v>1047</v>
      </c>
      <c r="D792" s="9" t="s">
        <v>4203</v>
      </c>
      <c r="E792" s="9" t="s">
        <v>4204</v>
      </c>
      <c r="F792" s="9" t="s">
        <v>4205</v>
      </c>
      <c r="G792" s="8">
        <v>4.62</v>
      </c>
      <c r="H792" s="8">
        <v>9</v>
      </c>
      <c r="I792" s="8" t="s">
        <v>21</v>
      </c>
    </row>
    <row r="793" spans="1:9" ht="12.5">
      <c r="A793" s="20">
        <v>3332460</v>
      </c>
      <c r="B793" s="9" t="s">
        <v>1034</v>
      </c>
      <c r="C793" s="9" t="s">
        <v>1050</v>
      </c>
      <c r="D793" s="9" t="s">
        <v>4206</v>
      </c>
      <c r="E793" s="9" t="s">
        <v>4207</v>
      </c>
      <c r="F793" s="9" t="s">
        <v>4208</v>
      </c>
      <c r="G793" s="8">
        <v>4.4800000000000004</v>
      </c>
      <c r="H793" s="8">
        <v>4.3</v>
      </c>
      <c r="I793" s="8" t="s">
        <v>21</v>
      </c>
    </row>
    <row r="794" spans="1:9" ht="12.5">
      <c r="A794" s="20">
        <v>2340578</v>
      </c>
      <c r="B794" s="9" t="s">
        <v>1034</v>
      </c>
      <c r="C794" s="9" t="s">
        <v>1035</v>
      </c>
      <c r="D794" s="9" t="s">
        <v>4209</v>
      </c>
      <c r="E794" s="9" t="s">
        <v>4210</v>
      </c>
      <c r="F794" s="9" t="s">
        <v>4211</v>
      </c>
      <c r="G794" s="8">
        <v>4.68</v>
      </c>
      <c r="H794" s="8">
        <v>1.9</v>
      </c>
      <c r="I794" s="8" t="s">
        <v>72</v>
      </c>
    </row>
    <row r="795" spans="1:9" ht="12.5">
      <c r="A795" s="20">
        <v>2152776</v>
      </c>
      <c r="B795" s="9" t="s">
        <v>1034</v>
      </c>
      <c r="C795" s="9" t="s">
        <v>1050</v>
      </c>
      <c r="D795" s="9" t="s">
        <v>4212</v>
      </c>
      <c r="E795" s="9" t="s">
        <v>4213</v>
      </c>
      <c r="F795" s="9" t="s">
        <v>4214</v>
      </c>
      <c r="G795" s="8">
        <v>4.5199999999999996</v>
      </c>
      <c r="H795" s="8">
        <v>2.4</v>
      </c>
      <c r="I795" s="8" t="s">
        <v>17</v>
      </c>
    </row>
    <row r="796" spans="1:9" ht="12.5">
      <c r="A796" s="20">
        <v>2641500</v>
      </c>
      <c r="B796" s="9" t="s">
        <v>1034</v>
      </c>
      <c r="C796" s="9" t="s">
        <v>1047</v>
      </c>
      <c r="D796" s="9" t="s">
        <v>4215</v>
      </c>
      <c r="E796" s="9" t="s">
        <v>4216</v>
      </c>
      <c r="F796" s="9" t="s">
        <v>2336</v>
      </c>
      <c r="G796" s="8">
        <v>4.6500000000000004</v>
      </c>
      <c r="H796" s="8">
        <v>5.6</v>
      </c>
      <c r="I796" s="8" t="s">
        <v>21</v>
      </c>
    </row>
    <row r="797" spans="1:9" ht="12.5">
      <c r="A797" s="20">
        <v>1210800</v>
      </c>
      <c r="B797" s="9" t="s">
        <v>1034</v>
      </c>
      <c r="C797" s="9" t="s">
        <v>1050</v>
      </c>
      <c r="D797" s="9" t="s">
        <v>4217</v>
      </c>
      <c r="E797" s="9" t="s">
        <v>4218</v>
      </c>
      <c r="F797" s="9" t="s">
        <v>4219</v>
      </c>
      <c r="G797" s="8">
        <v>4.63</v>
      </c>
      <c r="H797" s="8">
        <v>5.2</v>
      </c>
      <c r="I797" s="8" t="s">
        <v>21</v>
      </c>
    </row>
    <row r="798" spans="1:9" ht="12.5">
      <c r="A798" s="20">
        <v>1366306</v>
      </c>
      <c r="B798" s="9" t="s">
        <v>1034</v>
      </c>
      <c r="C798" s="9" t="s">
        <v>1047</v>
      </c>
      <c r="D798" s="9" t="s">
        <v>4220</v>
      </c>
      <c r="E798" s="9" t="s">
        <v>4221</v>
      </c>
      <c r="F798" s="9" t="s">
        <v>3677</v>
      </c>
      <c r="G798" s="8">
        <v>4.5199999999999996</v>
      </c>
      <c r="H798" s="8">
        <v>1.8</v>
      </c>
      <c r="I798" s="8" t="s">
        <v>72</v>
      </c>
    </row>
    <row r="799" spans="1:9" ht="12.5">
      <c r="A799" s="20">
        <v>1511314</v>
      </c>
      <c r="B799" s="9" t="s">
        <v>1034</v>
      </c>
      <c r="C799" s="9" t="s">
        <v>1050</v>
      </c>
      <c r="D799" s="9" t="s">
        <v>4222</v>
      </c>
      <c r="E799" s="9" t="s">
        <v>4223</v>
      </c>
      <c r="F799" s="9" t="s">
        <v>4224</v>
      </c>
      <c r="G799" s="8">
        <v>4.4800000000000004</v>
      </c>
      <c r="H799" s="8">
        <v>1.4</v>
      </c>
      <c r="I799" s="8" t="s">
        <v>17</v>
      </c>
    </row>
    <row r="800" spans="1:9" ht="12.5">
      <c r="A800" s="20">
        <v>1285448</v>
      </c>
      <c r="B800" s="9" t="s">
        <v>1034</v>
      </c>
      <c r="C800" s="9" t="s">
        <v>1047</v>
      </c>
      <c r="D800" s="9" t="s">
        <v>4225</v>
      </c>
      <c r="E800" s="9" t="s">
        <v>4226</v>
      </c>
      <c r="F800" s="9" t="s">
        <v>4227</v>
      </c>
      <c r="G800" s="8">
        <v>4.84</v>
      </c>
      <c r="H800" s="8">
        <v>4.5</v>
      </c>
      <c r="I800" s="8" t="s">
        <v>21</v>
      </c>
    </row>
    <row r="801" spans="1:9" ht="12.5">
      <c r="A801" s="20">
        <v>2376580</v>
      </c>
      <c r="B801" s="9" t="s">
        <v>1034</v>
      </c>
      <c r="C801" s="9" t="s">
        <v>1047</v>
      </c>
      <c r="D801" s="9" t="s">
        <v>4228</v>
      </c>
      <c r="E801" s="9" t="s">
        <v>4229</v>
      </c>
      <c r="F801" s="9" t="s">
        <v>4230</v>
      </c>
      <c r="G801" s="8">
        <v>4.7</v>
      </c>
      <c r="H801" s="8">
        <v>2</v>
      </c>
      <c r="I801" s="8" t="s">
        <v>21</v>
      </c>
    </row>
    <row r="802" spans="1:9" ht="12.5">
      <c r="A802" s="20">
        <v>2507978</v>
      </c>
      <c r="B802" s="9" t="s">
        <v>1034</v>
      </c>
      <c r="C802" s="9" t="s">
        <v>1050</v>
      </c>
      <c r="D802" s="9" t="s">
        <v>4231</v>
      </c>
      <c r="E802" s="9" t="s">
        <v>4232</v>
      </c>
      <c r="F802" s="9" t="s">
        <v>4233</v>
      </c>
      <c r="G802" s="8">
        <v>4.63</v>
      </c>
      <c r="H802" s="8">
        <v>6.5</v>
      </c>
      <c r="I802" s="8" t="s">
        <v>21</v>
      </c>
    </row>
    <row r="803" spans="1:9" ht="12.5">
      <c r="A803" s="20">
        <v>3390504</v>
      </c>
      <c r="B803" s="9" t="s">
        <v>1034</v>
      </c>
      <c r="C803" s="9" t="s">
        <v>1035</v>
      </c>
      <c r="D803" s="9" t="s">
        <v>4234</v>
      </c>
      <c r="E803" s="9" t="s">
        <v>4235</v>
      </c>
      <c r="F803" s="9" t="s">
        <v>4236</v>
      </c>
      <c r="G803" s="8">
        <v>4.46</v>
      </c>
      <c r="H803" s="8">
        <v>3.4</v>
      </c>
      <c r="I803" s="8" t="s">
        <v>72</v>
      </c>
    </row>
    <row r="804" spans="1:9" ht="12.5">
      <c r="A804" s="20">
        <v>1071772</v>
      </c>
      <c r="B804" s="9" t="s">
        <v>1034</v>
      </c>
      <c r="C804" s="9" t="s">
        <v>1047</v>
      </c>
      <c r="D804" s="9" t="s">
        <v>4237</v>
      </c>
      <c r="E804" s="9" t="s">
        <v>4238</v>
      </c>
      <c r="F804" s="9" t="s">
        <v>4227</v>
      </c>
      <c r="G804" s="8">
        <v>4.5999999999999996</v>
      </c>
      <c r="H804" s="8">
        <v>15.8</v>
      </c>
      <c r="I804" s="8" t="s">
        <v>21</v>
      </c>
    </row>
    <row r="805" spans="1:9" ht="12.5">
      <c r="A805" s="20">
        <v>1785616</v>
      </c>
      <c r="B805" s="9" t="s">
        <v>1034</v>
      </c>
      <c r="C805" s="9" t="s">
        <v>1050</v>
      </c>
      <c r="D805" s="9" t="s">
        <v>4239</v>
      </c>
      <c r="E805" s="9" t="s">
        <v>4240</v>
      </c>
      <c r="F805" s="9" t="s">
        <v>4241</v>
      </c>
      <c r="G805" s="8">
        <v>4.5</v>
      </c>
      <c r="H805" s="8">
        <v>11.3</v>
      </c>
      <c r="I805" s="8" t="s">
        <v>21</v>
      </c>
    </row>
    <row r="806" spans="1:9" ht="12.5">
      <c r="A806" s="20">
        <v>2454284</v>
      </c>
      <c r="B806" s="9" t="s">
        <v>1034</v>
      </c>
      <c r="C806" s="9" t="s">
        <v>1047</v>
      </c>
      <c r="D806" s="9" t="s">
        <v>4242</v>
      </c>
      <c r="E806" s="9" t="s">
        <v>4243</v>
      </c>
      <c r="F806" s="9" t="s">
        <v>4244</v>
      </c>
      <c r="G806" s="8">
        <v>4.62</v>
      </c>
      <c r="H806" s="8">
        <v>1.1000000000000001</v>
      </c>
      <c r="I806" s="8" t="s">
        <v>17</v>
      </c>
    </row>
    <row r="807" spans="1:9" ht="12.5">
      <c r="A807" s="20">
        <v>1055074</v>
      </c>
      <c r="B807" s="9" t="s">
        <v>1034</v>
      </c>
      <c r="C807" s="9" t="s">
        <v>1047</v>
      </c>
      <c r="D807" s="9" t="s">
        <v>4245</v>
      </c>
      <c r="E807" s="9" t="s">
        <v>4246</v>
      </c>
      <c r="F807" s="9" t="s">
        <v>4247</v>
      </c>
      <c r="G807" s="8">
        <v>4.6399999999999997</v>
      </c>
      <c r="H807" s="8">
        <v>11.6</v>
      </c>
      <c r="I807" s="8" t="s">
        <v>21</v>
      </c>
    </row>
    <row r="808" spans="1:9" ht="12.5">
      <c r="A808" s="20">
        <v>2295997</v>
      </c>
      <c r="B808" s="9" t="s">
        <v>1034</v>
      </c>
      <c r="C808" s="9" t="s">
        <v>1047</v>
      </c>
      <c r="D808" s="9" t="s">
        <v>4248</v>
      </c>
      <c r="E808" s="9" t="s">
        <v>4249</v>
      </c>
      <c r="F808" s="9" t="s">
        <v>4250</v>
      </c>
      <c r="G808" s="8">
        <v>4.7300000000000004</v>
      </c>
      <c r="H808" s="8">
        <v>11.9</v>
      </c>
      <c r="I808" s="8" t="s">
        <v>21</v>
      </c>
    </row>
    <row r="809" spans="1:9" ht="12.5">
      <c r="A809" s="20">
        <v>2997942</v>
      </c>
      <c r="B809" s="9" t="s">
        <v>1066</v>
      </c>
      <c r="C809" s="9" t="s">
        <v>1076</v>
      </c>
      <c r="D809" s="9" t="s">
        <v>4251</v>
      </c>
      <c r="E809" s="9" t="s">
        <v>4252</v>
      </c>
      <c r="F809" s="9" t="s">
        <v>4253</v>
      </c>
      <c r="G809" s="8">
        <v>4.5</v>
      </c>
      <c r="H809" s="8">
        <v>0.9</v>
      </c>
      <c r="I809" s="8" t="s">
        <v>17</v>
      </c>
    </row>
    <row r="810" spans="1:9" ht="12.5">
      <c r="A810" s="20">
        <v>2081754</v>
      </c>
      <c r="B810" s="9" t="s">
        <v>1066</v>
      </c>
      <c r="C810" s="9" t="s">
        <v>1067</v>
      </c>
      <c r="D810" s="9" t="s">
        <v>4254</v>
      </c>
      <c r="E810" s="9" t="s">
        <v>4255</v>
      </c>
      <c r="F810" s="9" t="s">
        <v>4256</v>
      </c>
      <c r="G810" s="8">
        <v>4.47</v>
      </c>
      <c r="H810" s="8">
        <v>2.5</v>
      </c>
      <c r="I810" s="8" t="s">
        <v>21</v>
      </c>
    </row>
    <row r="811" spans="1:9" ht="12.5">
      <c r="A811" s="20">
        <v>1930254</v>
      </c>
      <c r="B811" s="9" t="s">
        <v>1066</v>
      </c>
      <c r="C811" s="9" t="s">
        <v>1067</v>
      </c>
      <c r="D811" s="9" t="s">
        <v>4257</v>
      </c>
      <c r="E811" s="9" t="s">
        <v>4258</v>
      </c>
      <c r="F811" s="9" t="s">
        <v>4253</v>
      </c>
      <c r="G811" s="8">
        <v>4.6900000000000004</v>
      </c>
      <c r="H811" s="8">
        <v>1</v>
      </c>
      <c r="I811" s="8" t="s">
        <v>17</v>
      </c>
    </row>
    <row r="812" spans="1:9" ht="12.5">
      <c r="A812" s="20">
        <v>3017486</v>
      </c>
      <c r="B812" s="9" t="s">
        <v>1066</v>
      </c>
      <c r="C812" s="9" t="s">
        <v>1076</v>
      </c>
      <c r="D812" s="9" t="s">
        <v>4259</v>
      </c>
      <c r="E812" s="9" t="s">
        <v>4260</v>
      </c>
      <c r="F812" s="9" t="s">
        <v>4253</v>
      </c>
      <c r="G812" s="8">
        <v>4.6399999999999997</v>
      </c>
      <c r="H812" s="8">
        <v>1.1000000000000001</v>
      </c>
      <c r="I812" s="8" t="s">
        <v>72</v>
      </c>
    </row>
    <row r="813" spans="1:9" ht="12.5">
      <c r="A813" s="20">
        <v>733184</v>
      </c>
      <c r="B813" s="9" t="s">
        <v>1066</v>
      </c>
      <c r="C813" s="9" t="s">
        <v>1067</v>
      </c>
      <c r="D813" s="9" t="s">
        <v>4261</v>
      </c>
      <c r="E813" s="9" t="s">
        <v>4262</v>
      </c>
      <c r="F813" s="9" t="s">
        <v>3928</v>
      </c>
      <c r="G813" s="8">
        <v>4.29</v>
      </c>
      <c r="H813" s="8">
        <v>2.2000000000000002</v>
      </c>
      <c r="I813" s="8" t="s">
        <v>21</v>
      </c>
    </row>
    <row r="814" spans="1:9" ht="12.5">
      <c r="A814" s="20">
        <v>1742940</v>
      </c>
      <c r="B814" s="9" t="s">
        <v>1066</v>
      </c>
      <c r="C814" s="9" t="s">
        <v>1067</v>
      </c>
      <c r="D814" s="9" t="s">
        <v>4263</v>
      </c>
      <c r="E814" s="9" t="s">
        <v>4264</v>
      </c>
      <c r="F814" s="9" t="s">
        <v>3685</v>
      </c>
      <c r="G814" s="8">
        <v>4.6100000000000003</v>
      </c>
      <c r="H814" s="8">
        <v>2.7</v>
      </c>
      <c r="I814" s="8" t="s">
        <v>21</v>
      </c>
    </row>
    <row r="815" spans="1:9" ht="12.5">
      <c r="A815" s="20">
        <v>1694348</v>
      </c>
      <c r="B815" s="9" t="s">
        <v>1066</v>
      </c>
      <c r="C815" s="9" t="s">
        <v>1067</v>
      </c>
      <c r="D815" s="9" t="s">
        <v>4265</v>
      </c>
      <c r="E815" s="9" t="s">
        <v>4266</v>
      </c>
      <c r="F815" s="9" t="s">
        <v>3782</v>
      </c>
      <c r="G815" s="8">
        <v>4.59</v>
      </c>
      <c r="H815" s="8">
        <v>9</v>
      </c>
      <c r="I815" s="8" t="s">
        <v>21</v>
      </c>
    </row>
    <row r="816" spans="1:9" ht="12.5">
      <c r="A816" s="20">
        <v>904910</v>
      </c>
      <c r="B816" s="9" t="s">
        <v>1066</v>
      </c>
      <c r="C816" s="9" t="s">
        <v>1076</v>
      </c>
      <c r="D816" s="9" t="s">
        <v>4267</v>
      </c>
      <c r="E816" s="9" t="s">
        <v>4268</v>
      </c>
      <c r="F816" s="9" t="s">
        <v>4256</v>
      </c>
      <c r="G816" s="8">
        <v>4.4400000000000004</v>
      </c>
      <c r="H816" s="8">
        <v>2.9</v>
      </c>
      <c r="I816" s="8" t="s">
        <v>21</v>
      </c>
    </row>
    <row r="817" spans="1:9" ht="12.5">
      <c r="A817" s="20">
        <v>1612618</v>
      </c>
      <c r="B817" s="9" t="s">
        <v>1066</v>
      </c>
      <c r="C817" s="9" t="s">
        <v>1067</v>
      </c>
      <c r="D817" s="9" t="s">
        <v>4269</v>
      </c>
      <c r="E817" s="9" t="s">
        <v>4270</v>
      </c>
      <c r="F817" s="9" t="s">
        <v>4271</v>
      </c>
      <c r="G817" s="8">
        <v>4.57</v>
      </c>
      <c r="H817" s="8">
        <v>10.4</v>
      </c>
      <c r="I817" s="8" t="s">
        <v>21</v>
      </c>
    </row>
    <row r="818" spans="1:9" ht="12.5">
      <c r="A818" s="20">
        <v>2185278</v>
      </c>
      <c r="B818" s="9" t="s">
        <v>1066</v>
      </c>
      <c r="C818" s="9" t="s">
        <v>1067</v>
      </c>
      <c r="D818" s="9" t="s">
        <v>4272</v>
      </c>
      <c r="E818" s="9" t="s">
        <v>4273</v>
      </c>
      <c r="F818" s="9" t="s">
        <v>4274</v>
      </c>
      <c r="G818" s="8">
        <v>4.55</v>
      </c>
      <c r="H818" s="8">
        <v>2.9</v>
      </c>
      <c r="I818" s="8" t="s">
        <v>21</v>
      </c>
    </row>
    <row r="819" spans="1:9" ht="12.5">
      <c r="A819" s="20">
        <v>1396362</v>
      </c>
      <c r="B819" s="9" t="s">
        <v>1066</v>
      </c>
      <c r="C819" s="9" t="s">
        <v>1067</v>
      </c>
      <c r="D819" s="9" t="s">
        <v>4275</v>
      </c>
      <c r="E819" s="9" t="s">
        <v>4276</v>
      </c>
      <c r="F819" s="9" t="s">
        <v>3974</v>
      </c>
      <c r="G819" s="8">
        <v>4.8099999999999996</v>
      </c>
      <c r="H819" s="8">
        <v>1.2</v>
      </c>
      <c r="I819" s="8" t="s">
        <v>21</v>
      </c>
    </row>
    <row r="820" spans="1:9" ht="12.5">
      <c r="A820" s="20">
        <v>3146740</v>
      </c>
      <c r="B820" s="9" t="s">
        <v>1066</v>
      </c>
      <c r="C820" s="9" t="s">
        <v>1076</v>
      </c>
      <c r="D820" s="9" t="s">
        <v>4277</v>
      </c>
      <c r="E820" s="9" t="s">
        <v>4278</v>
      </c>
      <c r="F820" s="9" t="s">
        <v>4279</v>
      </c>
      <c r="G820" s="8">
        <v>4.47</v>
      </c>
      <c r="H820" s="8">
        <v>2.8</v>
      </c>
      <c r="I820" s="8" t="s">
        <v>17</v>
      </c>
    </row>
    <row r="821" spans="1:9" ht="12.5">
      <c r="A821" s="20">
        <v>1025436</v>
      </c>
      <c r="B821" s="9" t="s">
        <v>1066</v>
      </c>
      <c r="C821" s="9" t="s">
        <v>1067</v>
      </c>
      <c r="D821" s="9" t="s">
        <v>4280</v>
      </c>
      <c r="E821" s="9" t="s">
        <v>4281</v>
      </c>
      <c r="F821" s="9" t="s">
        <v>4282</v>
      </c>
      <c r="G821" s="8">
        <v>4.42</v>
      </c>
      <c r="H821" s="8">
        <v>8.5</v>
      </c>
      <c r="I821" s="8" t="s">
        <v>21</v>
      </c>
    </row>
    <row r="822" spans="1:9" ht="12.5">
      <c r="A822" s="20">
        <v>1535776</v>
      </c>
      <c r="B822" s="9" t="s">
        <v>1066</v>
      </c>
      <c r="C822" s="9" t="s">
        <v>1067</v>
      </c>
      <c r="D822" s="9" t="s">
        <v>4283</v>
      </c>
      <c r="E822" s="9" t="s">
        <v>4284</v>
      </c>
      <c r="F822" s="9" t="s">
        <v>3782</v>
      </c>
      <c r="G822" s="8">
        <v>4.53</v>
      </c>
      <c r="H822" s="8">
        <v>5.0999999999999996</v>
      </c>
      <c r="I822" s="8" t="s">
        <v>21</v>
      </c>
    </row>
    <row r="823" spans="1:9" ht="12.5">
      <c r="A823" s="20">
        <v>2796690</v>
      </c>
      <c r="B823" s="9" t="s">
        <v>1066</v>
      </c>
      <c r="C823" s="9" t="s">
        <v>1067</v>
      </c>
      <c r="D823" s="9" t="s">
        <v>4285</v>
      </c>
      <c r="E823" s="9" t="s">
        <v>4286</v>
      </c>
      <c r="F823" s="9" t="s">
        <v>4287</v>
      </c>
      <c r="G823" s="8">
        <v>4.33</v>
      </c>
      <c r="H823" s="8">
        <v>1.2</v>
      </c>
      <c r="I823" s="8" t="s">
        <v>21</v>
      </c>
    </row>
    <row r="824" spans="1:9" ht="12.5">
      <c r="A824" s="20">
        <v>3269358</v>
      </c>
      <c r="B824" s="9" t="s">
        <v>1066</v>
      </c>
      <c r="C824" s="9" t="s">
        <v>1076</v>
      </c>
      <c r="D824" s="9" t="s">
        <v>4288</v>
      </c>
      <c r="E824" s="9" t="s">
        <v>4289</v>
      </c>
      <c r="F824" s="9" t="s">
        <v>4253</v>
      </c>
      <c r="G824" s="8">
        <v>4.71</v>
      </c>
      <c r="H824" s="8">
        <v>1.2</v>
      </c>
      <c r="I824" s="8" t="s">
        <v>17</v>
      </c>
    </row>
    <row r="825" spans="1:9" ht="12.5">
      <c r="A825" s="20">
        <v>3553593</v>
      </c>
      <c r="B825" s="9" t="s">
        <v>1066</v>
      </c>
      <c r="C825" s="9" t="s">
        <v>1076</v>
      </c>
      <c r="D825" s="9" t="s">
        <v>4290</v>
      </c>
      <c r="E825" s="9" t="s">
        <v>4291</v>
      </c>
      <c r="F825" s="9" t="s">
        <v>4292</v>
      </c>
      <c r="G825" s="8">
        <v>4.8</v>
      </c>
      <c r="H825" s="8">
        <v>2.9</v>
      </c>
      <c r="I825" s="8" t="s">
        <v>21</v>
      </c>
    </row>
    <row r="826" spans="1:9" ht="12.5">
      <c r="A826" s="20">
        <v>2824017</v>
      </c>
      <c r="B826" s="9" t="s">
        <v>1066</v>
      </c>
      <c r="C826" s="9" t="s">
        <v>1067</v>
      </c>
      <c r="D826" s="9" t="s">
        <v>4293</v>
      </c>
      <c r="E826" s="9" t="s">
        <v>4294</v>
      </c>
      <c r="F826" s="9" t="s">
        <v>4295</v>
      </c>
      <c r="G826" s="8">
        <v>4.8</v>
      </c>
      <c r="H826" s="8">
        <v>3.2</v>
      </c>
      <c r="I826" s="8" t="s">
        <v>21</v>
      </c>
    </row>
    <row r="827" spans="1:9" ht="12.5">
      <c r="A827" s="20">
        <v>3100368</v>
      </c>
      <c r="B827" s="9" t="s">
        <v>1066</v>
      </c>
      <c r="C827" s="9" t="s">
        <v>1076</v>
      </c>
      <c r="D827" s="9" t="s">
        <v>4296</v>
      </c>
      <c r="E827" s="9" t="s">
        <v>4297</v>
      </c>
      <c r="F827" s="9" t="s">
        <v>4253</v>
      </c>
      <c r="G827" s="8">
        <v>4.63</v>
      </c>
      <c r="H827" s="8">
        <v>1.1000000000000001</v>
      </c>
      <c r="I827" s="8" t="s">
        <v>72</v>
      </c>
    </row>
    <row r="828" spans="1:9" ht="12.5">
      <c r="A828" s="20">
        <v>2067263</v>
      </c>
      <c r="B828" s="9" t="s">
        <v>1066</v>
      </c>
      <c r="C828" s="9" t="s">
        <v>1067</v>
      </c>
      <c r="D828" s="9" t="s">
        <v>4298</v>
      </c>
      <c r="E828" s="9" t="s">
        <v>4299</v>
      </c>
      <c r="F828" s="9" t="s">
        <v>4271</v>
      </c>
      <c r="G828" s="8">
        <v>4.4400000000000004</v>
      </c>
      <c r="H828" s="8">
        <v>2.7</v>
      </c>
      <c r="I828" s="8" t="s">
        <v>21</v>
      </c>
    </row>
    <row r="829" spans="1:9" ht="12.5">
      <c r="A829" s="20">
        <v>1475236</v>
      </c>
      <c r="B829" s="9" t="s">
        <v>1066</v>
      </c>
      <c r="C829" s="9" t="s">
        <v>1067</v>
      </c>
      <c r="D829" s="9" t="s">
        <v>4300</v>
      </c>
      <c r="E829" s="9" t="s">
        <v>4301</v>
      </c>
      <c r="F829" s="9" t="s">
        <v>3974</v>
      </c>
      <c r="G829" s="8">
        <v>4.5</v>
      </c>
      <c r="H829" s="8">
        <v>3.7</v>
      </c>
      <c r="I829" s="8" t="s">
        <v>17</v>
      </c>
    </row>
    <row r="830" spans="1:9" ht="12.5">
      <c r="A830" s="20">
        <v>3412302</v>
      </c>
      <c r="B830" s="9" t="s">
        <v>1066</v>
      </c>
      <c r="C830" s="9" t="s">
        <v>1067</v>
      </c>
      <c r="D830" s="9" t="s">
        <v>4302</v>
      </c>
      <c r="E830" s="9" t="s">
        <v>4303</v>
      </c>
      <c r="F830" s="9" t="s">
        <v>4304</v>
      </c>
      <c r="G830" s="8">
        <v>4.68</v>
      </c>
      <c r="H830" s="8">
        <v>6.3</v>
      </c>
      <c r="I830" s="8" t="s">
        <v>17</v>
      </c>
    </row>
    <row r="831" spans="1:9" ht="12.5">
      <c r="A831" s="20">
        <v>1590710</v>
      </c>
      <c r="B831" s="9" t="s">
        <v>1066</v>
      </c>
      <c r="C831" s="9" t="s">
        <v>1067</v>
      </c>
      <c r="D831" s="9" t="s">
        <v>4305</v>
      </c>
      <c r="E831" s="9" t="s">
        <v>4306</v>
      </c>
      <c r="F831" s="9" t="s">
        <v>3974</v>
      </c>
      <c r="G831" s="8">
        <v>4.58</v>
      </c>
      <c r="H831" s="8">
        <v>2.9</v>
      </c>
      <c r="I831" s="8" t="s">
        <v>17</v>
      </c>
    </row>
    <row r="832" spans="1:9" ht="12.5">
      <c r="A832" s="20">
        <v>2465268</v>
      </c>
      <c r="B832" s="9" t="s">
        <v>1066</v>
      </c>
      <c r="C832" s="9" t="s">
        <v>1067</v>
      </c>
      <c r="D832" s="9" t="s">
        <v>4307</v>
      </c>
      <c r="E832" s="9" t="s">
        <v>4308</v>
      </c>
      <c r="F832" s="9" t="s">
        <v>4309</v>
      </c>
      <c r="G832" s="8">
        <v>4.59</v>
      </c>
      <c r="H832" s="8">
        <v>7</v>
      </c>
      <c r="I832" s="8" t="s">
        <v>21</v>
      </c>
    </row>
    <row r="833" spans="1:9" ht="12.5">
      <c r="A833" s="20">
        <v>2742558</v>
      </c>
      <c r="B833" s="9" t="s">
        <v>1066</v>
      </c>
      <c r="C833" s="9" t="s">
        <v>1067</v>
      </c>
      <c r="D833" s="9" t="s">
        <v>4310</v>
      </c>
      <c r="E833" s="9" t="s">
        <v>4311</v>
      </c>
      <c r="F833" s="9" t="s">
        <v>4312</v>
      </c>
      <c r="G833" s="8">
        <v>4.62</v>
      </c>
      <c r="H833" s="8">
        <v>12.9</v>
      </c>
      <c r="I833" s="8" t="s">
        <v>21</v>
      </c>
    </row>
    <row r="834" spans="1:9" ht="12.5">
      <c r="A834" s="20">
        <v>2124212</v>
      </c>
      <c r="B834" s="9" t="s">
        <v>1066</v>
      </c>
      <c r="C834" s="9" t="s">
        <v>1067</v>
      </c>
      <c r="D834" s="9" t="s">
        <v>4313</v>
      </c>
      <c r="E834" s="9" t="s">
        <v>4314</v>
      </c>
      <c r="F834" s="9" t="s">
        <v>4315</v>
      </c>
      <c r="G834" s="8">
        <v>4.6399999999999997</v>
      </c>
      <c r="H834" s="8">
        <v>1.7</v>
      </c>
      <c r="I834" s="8" t="s">
        <v>21</v>
      </c>
    </row>
    <row r="835" spans="1:9" ht="12.5">
      <c r="A835" s="20">
        <v>2357344</v>
      </c>
      <c r="B835" s="9" t="s">
        <v>1066</v>
      </c>
      <c r="C835" s="9" t="s">
        <v>1067</v>
      </c>
      <c r="D835" s="9" t="s">
        <v>4316</v>
      </c>
      <c r="E835" s="9" t="s">
        <v>4317</v>
      </c>
      <c r="F835" s="9" t="s">
        <v>4315</v>
      </c>
      <c r="G835" s="8">
        <v>4.37</v>
      </c>
      <c r="H835" s="8">
        <v>2.1</v>
      </c>
      <c r="I835" s="8" t="s">
        <v>17</v>
      </c>
    </row>
    <row r="836" spans="1:9" ht="12.5">
      <c r="A836" s="20">
        <v>2597596</v>
      </c>
      <c r="B836" s="9" t="s">
        <v>1066</v>
      </c>
      <c r="C836" s="9" t="s">
        <v>1067</v>
      </c>
      <c r="D836" s="9" t="s">
        <v>4318</v>
      </c>
      <c r="E836" s="9" t="s">
        <v>4319</v>
      </c>
      <c r="F836" s="9" t="s">
        <v>4320</v>
      </c>
      <c r="G836" s="8">
        <v>4.7699999999999996</v>
      </c>
      <c r="H836" s="8">
        <v>2.4</v>
      </c>
      <c r="I836" s="8" t="s">
        <v>21</v>
      </c>
    </row>
    <row r="837" spans="1:9" ht="12.5">
      <c r="A837" s="20">
        <v>2940656</v>
      </c>
      <c r="B837" s="9" t="s">
        <v>1066</v>
      </c>
      <c r="C837" s="9" t="s">
        <v>1067</v>
      </c>
      <c r="D837" s="9" t="s">
        <v>4321</v>
      </c>
      <c r="E837" s="9" t="s">
        <v>4322</v>
      </c>
      <c r="F837" s="9" t="s">
        <v>4312</v>
      </c>
      <c r="G837" s="8">
        <v>5</v>
      </c>
      <c r="H837" s="8">
        <v>8.8000000000000007</v>
      </c>
      <c r="I837" s="8" t="s">
        <v>72</v>
      </c>
    </row>
    <row r="838" spans="1:9" ht="12.5">
      <c r="A838" s="20">
        <v>2966136</v>
      </c>
      <c r="B838" s="9" t="s">
        <v>1066</v>
      </c>
      <c r="C838" s="9" t="s">
        <v>1067</v>
      </c>
      <c r="D838" s="9" t="s">
        <v>4323</v>
      </c>
      <c r="E838" s="9" t="s">
        <v>4324</v>
      </c>
      <c r="F838" s="9" t="s">
        <v>4325</v>
      </c>
      <c r="G838" s="8">
        <v>4.82</v>
      </c>
      <c r="H838" s="8">
        <v>3.9</v>
      </c>
      <c r="I838" s="8" t="s">
        <v>21</v>
      </c>
    </row>
    <row r="839" spans="1:9" ht="12.5">
      <c r="A839" s="20">
        <v>1412564</v>
      </c>
      <c r="B839" s="9" t="s">
        <v>1082</v>
      </c>
      <c r="C839" s="9" t="s">
        <v>1086</v>
      </c>
      <c r="D839" s="9" t="s">
        <v>4326</v>
      </c>
      <c r="E839" s="9" t="s">
        <v>4327</v>
      </c>
      <c r="F839" s="9" t="s">
        <v>3700</v>
      </c>
      <c r="G839" s="8">
        <v>4.62</v>
      </c>
      <c r="H839" s="8">
        <v>6.7</v>
      </c>
      <c r="I839" s="8" t="s">
        <v>21</v>
      </c>
    </row>
    <row r="840" spans="1:9" ht="12.5">
      <c r="A840" s="20">
        <v>2373778</v>
      </c>
      <c r="B840" s="9" t="s">
        <v>1082</v>
      </c>
      <c r="C840" s="9" t="s">
        <v>2283</v>
      </c>
      <c r="D840" s="9" t="s">
        <v>4328</v>
      </c>
      <c r="E840" s="9" t="s">
        <v>4329</v>
      </c>
      <c r="F840" s="9" t="s">
        <v>4253</v>
      </c>
      <c r="G840" s="8">
        <v>4.49</v>
      </c>
      <c r="H840" s="8">
        <v>1</v>
      </c>
      <c r="I840" s="8" t="s">
        <v>17</v>
      </c>
    </row>
    <row r="841" spans="1:9" ht="12.5">
      <c r="A841" s="20">
        <v>3393566</v>
      </c>
      <c r="B841" s="9" t="s">
        <v>1082</v>
      </c>
      <c r="C841" s="9" t="s">
        <v>2283</v>
      </c>
      <c r="D841" s="9" t="s">
        <v>4330</v>
      </c>
      <c r="E841" s="9" t="s">
        <v>4331</v>
      </c>
      <c r="F841" s="9" t="s">
        <v>4332</v>
      </c>
      <c r="G841" s="8">
        <v>4.38</v>
      </c>
      <c r="H841" s="8">
        <v>2.2000000000000002</v>
      </c>
      <c r="I841" s="8" t="s">
        <v>17</v>
      </c>
    </row>
    <row r="842" spans="1:9" ht="12.5">
      <c r="A842" s="20">
        <v>1318800</v>
      </c>
      <c r="B842" s="9" t="s">
        <v>1082</v>
      </c>
      <c r="C842" s="9" t="s">
        <v>1083</v>
      </c>
      <c r="D842" s="9" t="s">
        <v>4333</v>
      </c>
      <c r="E842" s="9" t="s">
        <v>4334</v>
      </c>
      <c r="F842" s="9" t="s">
        <v>4335</v>
      </c>
      <c r="G842" s="8">
        <v>4.47</v>
      </c>
      <c r="H842" s="8">
        <v>1.8</v>
      </c>
      <c r="I842" s="8" t="s">
        <v>17</v>
      </c>
    </row>
    <row r="843" spans="1:9" ht="12.5">
      <c r="A843" s="20">
        <v>1433122</v>
      </c>
      <c r="B843" s="9" t="s">
        <v>1082</v>
      </c>
      <c r="C843" s="9" t="s">
        <v>1083</v>
      </c>
      <c r="D843" s="9" t="s">
        <v>4336</v>
      </c>
      <c r="E843" s="9" t="s">
        <v>4337</v>
      </c>
      <c r="F843" s="9" t="s">
        <v>4338</v>
      </c>
      <c r="G843" s="8">
        <v>4.58</v>
      </c>
      <c r="H843" s="8">
        <v>1.9</v>
      </c>
      <c r="I843" s="8" t="s">
        <v>21</v>
      </c>
    </row>
    <row r="844" spans="1:9" ht="12.5">
      <c r="A844" s="20">
        <v>792226</v>
      </c>
      <c r="B844" s="9" t="s">
        <v>1082</v>
      </c>
      <c r="C844" s="9" t="s">
        <v>2293</v>
      </c>
      <c r="D844" s="9" t="s">
        <v>4339</v>
      </c>
      <c r="E844" s="9" t="s">
        <v>4340</v>
      </c>
      <c r="F844" s="9" t="s">
        <v>3677</v>
      </c>
      <c r="G844" s="8">
        <v>4.7699999999999996</v>
      </c>
      <c r="H844" s="8">
        <v>1.9</v>
      </c>
      <c r="I844" s="8" t="s">
        <v>21</v>
      </c>
    </row>
    <row r="845" spans="1:9" ht="12.5">
      <c r="A845" s="20">
        <v>3118864</v>
      </c>
      <c r="B845" s="9" t="s">
        <v>1082</v>
      </c>
      <c r="C845" s="9" t="s">
        <v>2283</v>
      </c>
      <c r="D845" s="9" t="s">
        <v>4341</v>
      </c>
      <c r="E845" s="9" t="s">
        <v>4342</v>
      </c>
      <c r="F845" s="9" t="s">
        <v>4343</v>
      </c>
      <c r="G845" s="8">
        <v>4.5199999999999996</v>
      </c>
      <c r="H845" s="8">
        <v>3.2</v>
      </c>
      <c r="I845" s="8" t="s">
        <v>21</v>
      </c>
    </row>
  </sheetData>
  <autoFilter ref="A4:I845" xr:uid="{00000000-0009-0000-0000-000002000000}"/>
  <mergeCells count="3">
    <mergeCell ref="D1:G1"/>
    <mergeCell ref="B2:I2"/>
    <mergeCell ref="B3:I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03"/>
  <sheetViews>
    <sheetView showGridLines="0" topLeftCell="C1" workbookViewId="0">
      <pane ySplit="4" topLeftCell="A410" activePane="bottomLeft" state="frozen"/>
      <selection pane="bottomLeft" activeCell="D1" sqref="D1:G1"/>
    </sheetView>
  </sheetViews>
  <sheetFormatPr defaultColWidth="14.453125" defaultRowHeight="15.75" customHeight="1"/>
  <cols>
    <col min="1" max="1" width="14.453125" customWidth="1"/>
    <col min="2" max="3" width="24.81640625" customWidth="1"/>
    <col min="4" max="4" width="67.54296875" customWidth="1"/>
    <col min="5" max="5" width="68" customWidth="1"/>
    <col min="6" max="6" width="26.26953125" customWidth="1"/>
    <col min="7" max="7" width="16.54296875" customWidth="1"/>
    <col min="8" max="8" width="15.81640625" customWidth="1"/>
    <col min="9" max="9" width="20.1796875" customWidth="1"/>
  </cols>
  <sheetData>
    <row r="1" spans="1:9" ht="45" customHeight="1">
      <c r="A1" s="1"/>
      <c r="B1" s="1"/>
      <c r="C1" s="1"/>
      <c r="D1" s="64" t="s">
        <v>0</v>
      </c>
      <c r="E1" s="65"/>
      <c r="F1" s="65"/>
      <c r="G1" s="65"/>
      <c r="H1" s="21"/>
      <c r="I1" s="1"/>
    </row>
    <row r="2" spans="1:9" ht="20.25" customHeight="1">
      <c r="A2" s="2"/>
      <c r="B2" s="66" t="s">
        <v>4344</v>
      </c>
      <c r="C2" s="65"/>
      <c r="D2" s="65"/>
      <c r="E2" s="65"/>
      <c r="F2" s="65"/>
      <c r="G2" s="65"/>
      <c r="H2" s="65"/>
      <c r="I2" s="65"/>
    </row>
    <row r="3" spans="1:9" ht="20.25" customHeight="1">
      <c r="A3" s="3"/>
      <c r="B3" s="67" t="s">
        <v>4345</v>
      </c>
      <c r="C3" s="65"/>
      <c r="D3" s="65"/>
      <c r="E3" s="65"/>
      <c r="F3" s="65"/>
      <c r="G3" s="65"/>
      <c r="H3" s="65"/>
      <c r="I3" s="65"/>
    </row>
    <row r="4" spans="1:9" ht="13">
      <c r="A4" s="22" t="s">
        <v>3</v>
      </c>
      <c r="B4" s="23" t="s">
        <v>4</v>
      </c>
      <c r="C4" s="23" t="s">
        <v>5</v>
      </c>
      <c r="D4" s="23" t="s">
        <v>6</v>
      </c>
      <c r="E4" s="23" t="s">
        <v>7</v>
      </c>
      <c r="F4" s="23" t="s">
        <v>8</v>
      </c>
      <c r="G4" s="24" t="s">
        <v>9</v>
      </c>
      <c r="H4" s="25" t="s">
        <v>10</v>
      </c>
      <c r="I4" s="26" t="s">
        <v>11</v>
      </c>
    </row>
    <row r="5" spans="1:9" ht="12.5">
      <c r="A5" s="27">
        <v>51539</v>
      </c>
      <c r="B5" s="28" t="s">
        <v>597</v>
      </c>
      <c r="C5" s="28" t="s">
        <v>1636</v>
      </c>
      <c r="D5" s="29" t="s">
        <v>4346</v>
      </c>
      <c r="E5" s="28" t="str">
        <f ca="1">IFERROR(__xludf.DUMMYFUNCTION("GOOGLETRANSLATE(D5)"),"Electrical circuit theory Introduction")</f>
        <v>Electrical circuit theory Introduction</v>
      </c>
      <c r="F5" s="28" t="s">
        <v>4347</v>
      </c>
      <c r="G5" s="30">
        <v>3.84</v>
      </c>
      <c r="H5" s="31">
        <v>8.69</v>
      </c>
      <c r="I5" s="28" t="s">
        <v>72</v>
      </c>
    </row>
    <row r="6" spans="1:9" ht="12.5">
      <c r="A6" s="27">
        <v>52106</v>
      </c>
      <c r="B6" s="28" t="s">
        <v>31</v>
      </c>
      <c r="C6" s="28" t="s">
        <v>93</v>
      </c>
      <c r="D6" s="29" t="s">
        <v>4348</v>
      </c>
      <c r="E6" s="28" t="str">
        <f ca="1">IFERROR(__xludf.DUMMYFUNCTION("GOOGLETRANSLATE(D6)"),"Bayesian estimation and graphical models: computer vision foundation 1")</f>
        <v>Bayesian estimation and graphical models: computer vision foundation 1</v>
      </c>
      <c r="F6" s="28" t="s">
        <v>4347</v>
      </c>
      <c r="G6" s="30">
        <v>4.16</v>
      </c>
      <c r="H6" s="31">
        <v>10.26</v>
      </c>
      <c r="I6" s="28" t="s">
        <v>259</v>
      </c>
    </row>
    <row r="7" spans="1:9" ht="12.5">
      <c r="A7" s="27">
        <v>216298</v>
      </c>
      <c r="B7" s="28" t="s">
        <v>1066</v>
      </c>
      <c r="C7" s="28" t="s">
        <v>1067</v>
      </c>
      <c r="D7" s="29" t="s">
        <v>4349</v>
      </c>
      <c r="E7" s="28" t="str">
        <f ca="1">IFERROR(__xludf.DUMMYFUNCTION("GOOGLETRANSLATE(D7)"),"Body language of the secret (Japanese Subtitled)")</f>
        <v>Body language of the secret (Japanese Subtitled)</v>
      </c>
      <c r="F7" s="28" t="s">
        <v>4350</v>
      </c>
      <c r="G7" s="30">
        <v>4.25</v>
      </c>
      <c r="H7" s="31">
        <v>1.1499999999999999</v>
      </c>
      <c r="I7" s="28" t="s">
        <v>21</v>
      </c>
    </row>
    <row r="8" spans="1:9" ht="12.5">
      <c r="A8" s="27">
        <v>419860</v>
      </c>
      <c r="B8" s="28" t="s">
        <v>31</v>
      </c>
      <c r="C8" s="28" t="s">
        <v>32</v>
      </c>
      <c r="D8" s="29" t="s">
        <v>4351</v>
      </c>
      <c r="E8" s="28" t="str">
        <f ca="1">IFERROR(__xludf.DUMMYFUNCTION("GOOGLETRANSLATE(D8)"),"Image processing and 3D geometric: Computer Vision foundation 2")</f>
        <v>Image processing and 3D geometric: Computer Vision foundation 2</v>
      </c>
      <c r="F8" s="28" t="s">
        <v>4347</v>
      </c>
      <c r="G8" s="30">
        <v>4.3</v>
      </c>
      <c r="H8" s="31">
        <v>4.2</v>
      </c>
      <c r="I8" s="28" t="s">
        <v>259</v>
      </c>
    </row>
    <row r="9" spans="1:9" ht="12.5">
      <c r="A9" s="27">
        <v>425352</v>
      </c>
      <c r="B9" s="28" t="s">
        <v>1066</v>
      </c>
      <c r="C9" s="28" t="s">
        <v>1067</v>
      </c>
      <c r="D9" s="29" t="s">
        <v>4352</v>
      </c>
      <c r="E9" s="28" t="str">
        <f ca="1">IFERROR(__xludf.DUMMYFUNCTION("GOOGLETRANSLATE(D9)"),"It is who unforgettable After 1 Tsu Watarai! First-class salesman of communication surgery (Japanese Subtitled)")</f>
        <v>It is who unforgettable After 1 Tsu Watarai! First-class salesman of communication surgery (Japanese Subtitled)</v>
      </c>
      <c r="F9" s="28" t="s">
        <v>4353</v>
      </c>
      <c r="G9" s="30">
        <v>4.2300000000000004</v>
      </c>
      <c r="H9" s="31">
        <v>4.41</v>
      </c>
      <c r="I9" s="28" t="s">
        <v>21</v>
      </c>
    </row>
    <row r="10" spans="1:9" ht="12.5">
      <c r="A10" s="28">
        <v>425618</v>
      </c>
      <c r="B10" s="28" t="s">
        <v>672</v>
      </c>
      <c r="C10" s="28" t="s">
        <v>695</v>
      </c>
      <c r="D10" s="29" t="s">
        <v>4354</v>
      </c>
      <c r="E10" s="28" t="str">
        <f ca="1">IFERROR(__xludf.DUMMYFUNCTION("GOOGLETRANSLATE(D10)"),"Former Apple evangelist Guy Kawasaki of entrepreneurs School (Japanese subtitles)")</f>
        <v>Former Apple evangelist Guy Kawasaki of entrepreneurs School (Japanese subtitles)</v>
      </c>
      <c r="F10" s="28" t="s">
        <v>4353</v>
      </c>
      <c r="G10" s="30">
        <v>4.34</v>
      </c>
      <c r="H10" s="31">
        <v>3.77</v>
      </c>
      <c r="I10" s="28" t="s">
        <v>21</v>
      </c>
    </row>
    <row r="11" spans="1:9" ht="12.5">
      <c r="A11" s="27">
        <v>425640</v>
      </c>
      <c r="B11" s="28" t="s">
        <v>1066</v>
      </c>
      <c r="C11" s="28" t="s">
        <v>1067</v>
      </c>
      <c r="D11" s="29" t="s">
        <v>4355</v>
      </c>
      <c r="E11" s="28" t="str">
        <f ca="1">IFERROR(__xludf.DUMMYFUNCTION("GOOGLETRANSLATE(D11)"),"Undaunted longer negotiations! Bullish English interview surgery-class in the world (Japanese Subtitled)")</f>
        <v>Undaunted longer negotiations! Bullish English interview surgery-class in the world (Japanese Subtitled)</v>
      </c>
      <c r="F11" s="28" t="s">
        <v>4353</v>
      </c>
      <c r="G11" s="30">
        <v>3.98</v>
      </c>
      <c r="H11" s="31">
        <v>1.1000000000000001</v>
      </c>
      <c r="I11" s="28" t="s">
        <v>21</v>
      </c>
    </row>
    <row r="12" spans="1:9" ht="12.5">
      <c r="A12" s="28">
        <v>484050</v>
      </c>
      <c r="B12" s="28" t="s">
        <v>864</v>
      </c>
      <c r="C12" s="28" t="s">
        <v>875</v>
      </c>
      <c r="D12" s="29" t="s">
        <v>4356</v>
      </c>
      <c r="E12" s="28" t="str">
        <f ca="1">IFERROR(__xludf.DUMMYFUNCTION("GOOGLETRANSLATE(D12)"),"[Large improve the NG article that planning does not pass] material creation impact illustrated surgery Motogaishi-based top consulting teach")</f>
        <v>[Large improve the NG article that planning does not pass] material creation impact illustrated surgery Motogaishi-based top consulting teach</v>
      </c>
      <c r="F12" s="28" t="s">
        <v>4357</v>
      </c>
      <c r="G12" s="30">
        <v>4.18</v>
      </c>
      <c r="H12" s="31">
        <v>2.87</v>
      </c>
      <c r="I12" s="28" t="s">
        <v>21</v>
      </c>
    </row>
    <row r="13" spans="1:9" ht="12.5">
      <c r="A13" s="27">
        <v>490912</v>
      </c>
      <c r="B13" s="28" t="s">
        <v>672</v>
      </c>
      <c r="C13" s="28" t="s">
        <v>673</v>
      </c>
      <c r="D13" s="29" t="s">
        <v>4358</v>
      </c>
      <c r="E13" s="28" t="str">
        <f ca="1">IFERROR(__xludf.DUMMYFUNCTION("GOOGLETRANSLATE(D13)"),"""Management's our story"" ① Hoshino representative Hoshino Keiro")</f>
        <v>"Management's our story" ① Hoshino representative Hoshino Keiro</v>
      </c>
      <c r="F13" s="28" t="s">
        <v>4357</v>
      </c>
      <c r="G13" s="30">
        <v>4.25</v>
      </c>
      <c r="H13" s="31">
        <v>0.94</v>
      </c>
      <c r="I13" s="28" t="s">
        <v>21</v>
      </c>
    </row>
    <row r="14" spans="1:9" ht="12.5">
      <c r="A14" s="28">
        <v>564216</v>
      </c>
      <c r="B14" s="28" t="s">
        <v>864</v>
      </c>
      <c r="C14" s="28" t="s">
        <v>865</v>
      </c>
      <c r="D14" s="29" t="s">
        <v>4359</v>
      </c>
      <c r="E14" s="28" t="str">
        <f ca="1">IFERROR(__xludf.DUMMYFUNCTION("GOOGLETRANSLATE(D14)"),"Excel HACK surgery to work time to 1/10!")</f>
        <v>Excel HACK surgery to work time to 1/10!</v>
      </c>
      <c r="F14" s="28" t="s">
        <v>4360</v>
      </c>
      <c r="G14" s="30">
        <v>4.3</v>
      </c>
      <c r="H14" s="31">
        <v>6.05</v>
      </c>
      <c r="I14" s="28" t="s">
        <v>21</v>
      </c>
    </row>
    <row r="15" spans="1:9" ht="12.5">
      <c r="A15" s="27">
        <v>576260</v>
      </c>
      <c r="B15" s="28" t="s">
        <v>672</v>
      </c>
      <c r="C15" s="28" t="s">
        <v>673</v>
      </c>
      <c r="D15" s="29" t="s">
        <v>4361</v>
      </c>
      <c r="E15" s="28" t="str">
        <f ca="1">IFERROR(__xludf.DUMMYFUNCTION("GOOGLETRANSLATE(D15)"),"""Management's our story"" ② net Year group Ishiguro Fujidai")</f>
        <v>"Management's our story" ② net Year group Ishiguro Fujidai</v>
      </c>
      <c r="F15" s="28" t="s">
        <v>4357</v>
      </c>
      <c r="G15" s="30">
        <v>4.17</v>
      </c>
      <c r="H15" s="31">
        <v>0.94</v>
      </c>
      <c r="I15" s="28" t="s">
        <v>21</v>
      </c>
    </row>
    <row r="16" spans="1:9" ht="12.5">
      <c r="A16" s="27">
        <v>576274</v>
      </c>
      <c r="B16" s="28" t="s">
        <v>672</v>
      </c>
      <c r="C16" s="28" t="s">
        <v>673</v>
      </c>
      <c r="D16" s="29" t="s">
        <v>4362</v>
      </c>
      <c r="E16" s="28" t="str">
        <f ca="1">IFERROR(__xludf.DUMMYFUNCTION("GOOGLETRANSLATE(D16)"),"""Management's our story"" ③ Uotani Shiseido Co., Ltd. Masahiko")</f>
        <v>"Management's our story" ③ Uotani Shiseido Co., Ltd. Masahiko</v>
      </c>
      <c r="F16" s="28" t="s">
        <v>4357</v>
      </c>
      <c r="G16" s="30">
        <v>4.0999999999999996</v>
      </c>
      <c r="H16" s="31">
        <v>0.79</v>
      </c>
      <c r="I16" s="28" t="s">
        <v>21</v>
      </c>
    </row>
    <row r="17" spans="1:9" ht="12.5">
      <c r="A17" s="28">
        <v>611514</v>
      </c>
      <c r="B17" s="28" t="s">
        <v>672</v>
      </c>
      <c r="C17" s="28" t="s">
        <v>677</v>
      </c>
      <c r="D17" s="29" t="s">
        <v>4363</v>
      </c>
      <c r="E17" s="28" t="str">
        <f ca="1">IFERROR(__xludf.DUMMYFUNCTION("GOOGLETRANSLATE(D17)"),"Active Women's Ana art handed down directly! Presentation progress method")</f>
        <v>Active Women's Ana art handed down directly! Presentation progress method</v>
      </c>
      <c r="F17" s="28" t="s">
        <v>4364</v>
      </c>
      <c r="G17" s="30">
        <v>4.16</v>
      </c>
      <c r="H17" s="31">
        <v>0.79</v>
      </c>
      <c r="I17" s="28" t="s">
        <v>17</v>
      </c>
    </row>
    <row r="18" spans="1:9" ht="12.5">
      <c r="A18" s="28">
        <v>616206</v>
      </c>
      <c r="B18" s="28" t="s">
        <v>864</v>
      </c>
      <c r="C18" s="28" t="s">
        <v>865</v>
      </c>
      <c r="D18" s="29" t="s">
        <v>4365</v>
      </c>
      <c r="E18" s="28" t="str">
        <f ca="1">IFERROR(__xludf.DUMMYFUNCTION("GOOGLETRANSLATE(D18)"),"Bring your video lessons Encyclopedia of Excel function master courses all 47 function. Carefully course for you even read the book was frustrated")</f>
        <v>Bring your video lessons Encyclopedia of Excel function master courses all 47 function. Carefully course for you even read the book was frustrated</v>
      </c>
      <c r="F18" s="28" t="s">
        <v>4366</v>
      </c>
      <c r="G18" s="30">
        <v>4.3</v>
      </c>
      <c r="H18" s="31">
        <v>13.35</v>
      </c>
      <c r="I18" s="28" t="s">
        <v>21</v>
      </c>
    </row>
    <row r="19" spans="1:9" ht="12.5">
      <c r="A19" s="28">
        <v>625078</v>
      </c>
      <c r="B19" s="28" t="s">
        <v>225</v>
      </c>
      <c r="C19" s="28" t="s">
        <v>226</v>
      </c>
      <c r="D19" s="29" t="s">
        <v>4367</v>
      </c>
      <c r="E19" s="28" t="str">
        <f ca="1">IFERROR(__xludf.DUMMYFUNCTION("GOOGLETRANSLATE(D19)"),"[180,000 people attended in the world] practice Python data Science")</f>
        <v>[180,000 people attended in the world] practice Python data Science</v>
      </c>
      <c r="F19" s="28" t="s">
        <v>4368</v>
      </c>
      <c r="G19" s="30">
        <v>4.16</v>
      </c>
      <c r="H19" s="31">
        <v>17.399999999999999</v>
      </c>
      <c r="I19" s="28" t="s">
        <v>21</v>
      </c>
    </row>
    <row r="20" spans="1:9" ht="12.5">
      <c r="A20" s="28">
        <v>635704</v>
      </c>
      <c r="B20" s="28" t="s">
        <v>557</v>
      </c>
      <c r="C20" s="28" t="s">
        <v>561</v>
      </c>
      <c r="D20" s="29" t="s">
        <v>4369</v>
      </c>
      <c r="E20" s="28" t="str">
        <f ca="1">IFERROR(__xludf.DUMMYFUNCTION("GOOGLETRANSLATE(D20)"),"Clearance time! Visual bookkeeping ""super"" or was the introductory Hen likely! Double-entry bookkeeping")</f>
        <v>Clearance time! Visual bookkeeping "super" or was the introductory Hen likely! Double-entry bookkeeping</v>
      </c>
      <c r="F20" s="28" t="s">
        <v>4370</v>
      </c>
      <c r="G20" s="30">
        <v>4.33</v>
      </c>
      <c r="H20" s="31">
        <v>1.18</v>
      </c>
      <c r="I20" s="28" t="s">
        <v>17</v>
      </c>
    </row>
    <row r="21" spans="1:9" ht="12.5">
      <c r="A21" s="27">
        <v>642146</v>
      </c>
      <c r="B21" s="28" t="s">
        <v>102</v>
      </c>
      <c r="C21" s="28" t="s">
        <v>103</v>
      </c>
      <c r="D21" s="29" t="s">
        <v>4371</v>
      </c>
      <c r="E21" s="28" t="str">
        <f ca="1">IFERROR(__xludf.DUMMYFUNCTION("GOOGLETRANSLATE(D21)"),"70 or more lessons, firmly learn from the basics! HTML5 complete master course")</f>
        <v>70 or more lessons, firmly learn from the basics! HTML5 complete master course</v>
      </c>
      <c r="F21" s="28" t="s">
        <v>4372</v>
      </c>
      <c r="G21" s="30">
        <v>4.04</v>
      </c>
      <c r="H21" s="31">
        <v>6.64</v>
      </c>
      <c r="I21" s="28" t="s">
        <v>17</v>
      </c>
    </row>
    <row r="22" spans="1:9" ht="12.5">
      <c r="A22" s="28">
        <v>642216</v>
      </c>
      <c r="B22" s="28" t="s">
        <v>102</v>
      </c>
      <c r="C22" s="28" t="s">
        <v>103</v>
      </c>
      <c r="D22" s="29" t="s">
        <v>4373</v>
      </c>
      <c r="E22" s="28" t="str">
        <f ca="1">IFERROR(__xludf.DUMMYFUNCTION("GOOGLETRANSLATE(D22)"),"CSS / CSS3 Master Course | 70 or more lessons, master the CSS from the ground up in the lesson more than 7 hours")</f>
        <v>CSS / CSS3 Master Course | 70 or more lessons, master the CSS from the ground up in the lesson more than 7 hours</v>
      </c>
      <c r="F22" s="28" t="s">
        <v>4372</v>
      </c>
      <c r="G22" s="30">
        <v>4.54</v>
      </c>
      <c r="H22" s="31">
        <v>6.49</v>
      </c>
      <c r="I22" s="28" t="s">
        <v>17</v>
      </c>
    </row>
    <row r="23" spans="1:9" ht="12.5">
      <c r="A23" s="27">
        <v>642228</v>
      </c>
      <c r="B23" s="28" t="s">
        <v>102</v>
      </c>
      <c r="C23" s="28" t="s">
        <v>103</v>
      </c>
      <c r="D23" s="29" t="s">
        <v>4374</v>
      </c>
      <c r="E23" s="28" t="str">
        <f ca="1">IFERROR(__xludf.DUMMYFUNCTION("GOOGLETRANSLATE(D23)"),"Practice Web site coding course | using HTML5 and CSS3, Let's make the cafe of the sites and Web media sites")</f>
        <v>Practice Web site coding course | using HTML5 and CSS3, Let's make the cafe of the sites and Web media sites</v>
      </c>
      <c r="F23" s="28" t="s">
        <v>4372</v>
      </c>
      <c r="G23" s="30">
        <v>4.24</v>
      </c>
      <c r="H23" s="31">
        <v>8.9700000000000006</v>
      </c>
      <c r="I23" s="28" t="s">
        <v>72</v>
      </c>
    </row>
    <row r="24" spans="1:9" ht="12.5">
      <c r="A24" s="28">
        <v>647536</v>
      </c>
      <c r="B24" s="28" t="s">
        <v>864</v>
      </c>
      <c r="C24" s="28" t="s">
        <v>865</v>
      </c>
      <c r="D24" s="29" t="s">
        <v>4375</v>
      </c>
      <c r="E24" s="28" t="str">
        <f ca="1">IFERROR(__xludf.DUMMYFUNCTION("GOOGLETRANSLATE(D24)"),"150 minutes to Excel Intermediate [pivot · VLOOKUP · conditional formatting graph application]")</f>
        <v>150 minutes to Excel Intermediate [pivot · VLOOKUP · conditional formatting graph application]</v>
      </c>
      <c r="F24" s="28" t="s">
        <v>4366</v>
      </c>
      <c r="G24" s="30">
        <v>4.2699999999999996</v>
      </c>
      <c r="H24" s="31">
        <v>2.77</v>
      </c>
      <c r="I24" s="28" t="s">
        <v>21</v>
      </c>
    </row>
    <row r="25" spans="1:9" ht="12.5">
      <c r="A25" s="28">
        <v>647600</v>
      </c>
      <c r="B25" s="28" t="s">
        <v>225</v>
      </c>
      <c r="C25" s="28" t="s">
        <v>226</v>
      </c>
      <c r="D25" s="29" t="s">
        <v>4376</v>
      </c>
      <c r="E25" s="28" t="str">
        <f ca="1">IFERROR(__xludf.DUMMYFUNCTION("GOOGLETRANSLATE(D25)"),"[I can do with 5, 2008 - the first time in the Java programming Introduction")</f>
        <v>[I can do with 5, 2008 - the first time in the Java programming Introduction</v>
      </c>
      <c r="F25" s="28" t="s">
        <v>4377</v>
      </c>
      <c r="G25" s="30">
        <v>4.08</v>
      </c>
      <c r="H25" s="31">
        <v>8.34</v>
      </c>
      <c r="I25" s="28" t="s">
        <v>17</v>
      </c>
    </row>
    <row r="26" spans="1:9" ht="12.5">
      <c r="A26" s="27">
        <v>647630</v>
      </c>
      <c r="B26" s="28" t="s">
        <v>102</v>
      </c>
      <c r="C26" s="28" t="s">
        <v>103</v>
      </c>
      <c r="D26" s="29" t="s">
        <v>4378</v>
      </c>
      <c r="E26" s="28" t="str">
        <f ca="1">IFERROR(__xludf.DUMMYFUNCTION("GOOGLETRANSLATE(D26)"),"Become Web designers of a professional from inexperienced! 400 lessons or more complete master course")</f>
        <v>Become Web designers of a professional from inexperienced! 400 lessons or more complete master course</v>
      </c>
      <c r="F26" s="28" t="s">
        <v>4372</v>
      </c>
      <c r="G26" s="30">
        <v>4.28</v>
      </c>
      <c r="H26" s="31">
        <v>41.71</v>
      </c>
      <c r="I26" s="28" t="s">
        <v>17</v>
      </c>
    </row>
    <row r="27" spans="1:9" ht="12.5">
      <c r="A27" s="28">
        <v>662816</v>
      </c>
      <c r="B27" s="28" t="s">
        <v>102</v>
      </c>
      <c r="C27" s="28" t="s">
        <v>116</v>
      </c>
      <c r="D27" s="29" t="s">
        <v>4379</v>
      </c>
      <c r="E27" s="28" t="str">
        <f ca="1">IFERROR(__xludf.DUMMYFUNCTION("GOOGLETRANSLATE(D27)"),"After Effects Class for the first time, even peace of mind! Video content creation surgery taught by active creators")</f>
        <v>After Effects Class for the first time, even peace of mind! Video content creation surgery taught by active creators</v>
      </c>
      <c r="F27" s="28" t="s">
        <v>4380</v>
      </c>
      <c r="G27" s="30">
        <v>4.47</v>
      </c>
      <c r="H27" s="31">
        <v>10.88</v>
      </c>
      <c r="I27" s="28" t="s">
        <v>21</v>
      </c>
    </row>
    <row r="28" spans="1:9" ht="12.5">
      <c r="A28" s="27">
        <v>667608</v>
      </c>
      <c r="B28" s="28" t="s">
        <v>913</v>
      </c>
      <c r="C28" s="28" t="s">
        <v>914</v>
      </c>
      <c r="D28" s="29" t="s">
        <v>4381</v>
      </c>
      <c r="E28" s="28" t="str">
        <f ca="1">IFERROR(__xludf.DUMMYFUNCTION("GOOGLETRANSLATE(D28)"),"[TOEIC150 point UP in one day 15 minutes] Study in Canada TOEIC professional school lessons")</f>
        <v>[TOEIC150 point UP in one day 15 minutes] Study in Canada TOEIC professional school lessons</v>
      </c>
      <c r="F28" s="28" t="s">
        <v>4382</v>
      </c>
      <c r="G28" s="30">
        <v>3.82</v>
      </c>
      <c r="H28" s="31">
        <v>3</v>
      </c>
      <c r="I28" s="28" t="s">
        <v>21</v>
      </c>
    </row>
    <row r="29" spans="1:9" ht="12.5">
      <c r="A29" s="27">
        <v>669220</v>
      </c>
      <c r="B29" s="28" t="s">
        <v>864</v>
      </c>
      <c r="C29" s="28" t="s">
        <v>899</v>
      </c>
      <c r="D29" s="29" t="s">
        <v>4383</v>
      </c>
      <c r="E29" s="28" t="str">
        <f ca="1">IFERROR(__xludf.DUMMYFUNCTION("GOOGLETRANSLATE(D29)"),"Haya習 the [PC three sacred treasures] Word + Excel + PowerPoint to Ikki in 10 days / Excel brother course")</f>
        <v>Haya習 the [PC three sacred treasures] Word + Excel + PowerPoint to Ikki in 10 days / Excel brother course</v>
      </c>
      <c r="F29" s="28" t="s">
        <v>4366</v>
      </c>
      <c r="G29" s="30">
        <v>4.3600000000000003</v>
      </c>
      <c r="H29" s="31">
        <v>12.23</v>
      </c>
      <c r="I29" s="28" t="s">
        <v>17</v>
      </c>
    </row>
    <row r="30" spans="1:9" ht="12.5">
      <c r="A30" s="28">
        <v>682040</v>
      </c>
      <c r="B30" s="28" t="s">
        <v>597</v>
      </c>
      <c r="C30" s="28" t="s">
        <v>601</v>
      </c>
      <c r="D30" s="29" t="s">
        <v>4384</v>
      </c>
      <c r="E30" s="28" t="str">
        <f ca="1">IFERROR(__xludf.DUMMYFUNCTION("GOOGLETRANSLATE(D30)"),"[I can do with 5, 2008 - Introduction to the first time of Linux (LPIC Level1 corresponding)")</f>
        <v>[I can do with 5, 2008 - Introduction to the first time of Linux (LPIC Level1 corresponding)</v>
      </c>
      <c r="F30" s="28" t="s">
        <v>4377</v>
      </c>
      <c r="G30" s="30">
        <v>4.05</v>
      </c>
      <c r="H30" s="31">
        <v>6.56</v>
      </c>
      <c r="I30" s="28" t="s">
        <v>17</v>
      </c>
    </row>
    <row r="31" spans="1:9" ht="12.5">
      <c r="A31" s="28">
        <v>685762</v>
      </c>
      <c r="B31" s="28" t="s">
        <v>557</v>
      </c>
      <c r="C31" s="28" t="s">
        <v>561</v>
      </c>
      <c r="D31" s="29" t="s">
        <v>4385</v>
      </c>
      <c r="E31" s="28" t="str">
        <f ca="1">IFERROR(__xludf.DUMMYFUNCTION("GOOGLETRANSLATE(D31)"),"Visual video lecture by visual bookkeeping 3 primary to prep school instructor at the [2019 fiscal new test range corresponding] clearance time")</f>
        <v>Visual video lecture by visual bookkeeping 3 primary to prep school instructor at the [2019 fiscal new test range corresponding] clearance time</v>
      </c>
      <c r="F31" s="28" t="s">
        <v>4370</v>
      </c>
      <c r="G31" s="30">
        <v>4.26</v>
      </c>
      <c r="H31" s="31">
        <v>12.42</v>
      </c>
      <c r="I31" s="28" t="s">
        <v>17</v>
      </c>
    </row>
    <row r="32" spans="1:9" ht="12.5">
      <c r="A32" s="27">
        <v>692730</v>
      </c>
      <c r="B32" s="28" t="s">
        <v>913</v>
      </c>
      <c r="C32" s="28" t="s">
        <v>914</v>
      </c>
      <c r="D32" s="29" t="s">
        <v>4386</v>
      </c>
      <c r="E32" s="28" t="str">
        <f ca="1">IFERROR(__xludf.DUMMYFUNCTION("GOOGLETRANSLATE(D32)"),"Friendly French")</f>
        <v>Friendly French</v>
      </c>
      <c r="F32" s="28" t="s">
        <v>4387</v>
      </c>
      <c r="G32" s="30">
        <v>3.33</v>
      </c>
      <c r="H32" s="31">
        <v>0.99</v>
      </c>
      <c r="I32" s="28" t="s">
        <v>21</v>
      </c>
    </row>
    <row r="33" spans="1:9" ht="12.5">
      <c r="A33" s="27">
        <v>700544</v>
      </c>
      <c r="B33" s="28" t="s">
        <v>102</v>
      </c>
      <c r="C33" s="28" t="s">
        <v>106</v>
      </c>
      <c r="D33" s="29" t="s">
        <v>4388</v>
      </c>
      <c r="E33" s="28" t="str">
        <f ca="1">IFERROR(__xludf.DUMMYFUNCTION("GOOGLETRANSLATE(D33)"),"UX design course UX design basic introduction")</f>
        <v>UX design course UX design basic introduction</v>
      </c>
      <c r="F33" s="28" t="s">
        <v>4389</v>
      </c>
      <c r="G33" s="30">
        <v>4.1100000000000003</v>
      </c>
      <c r="H33" s="31">
        <v>3.49</v>
      </c>
      <c r="I33" s="28" t="s">
        <v>17</v>
      </c>
    </row>
    <row r="34" spans="1:9" ht="12.5">
      <c r="A34" s="27">
        <v>720490</v>
      </c>
      <c r="B34" s="28" t="s">
        <v>225</v>
      </c>
      <c r="C34" s="28" t="s">
        <v>226</v>
      </c>
      <c r="D34" s="29" t="s">
        <v>4390</v>
      </c>
      <c r="E34" s="28" t="str">
        <f ca="1">IFERROR(__xludf.DUMMYFUNCTION("GOOGLETRANSLATE(D34)"),"[Can be in three days] the first time of the Ruby on Rails 4 Introduction (learn from Ruby)")</f>
        <v>[Can be in three days] the first time of the Ruby on Rails 4 Introduction (learn from Ruby)</v>
      </c>
      <c r="F34" s="28" t="s">
        <v>4377</v>
      </c>
      <c r="G34" s="30">
        <v>4.28</v>
      </c>
      <c r="H34" s="31">
        <v>5.51</v>
      </c>
      <c r="I34" s="28" t="s">
        <v>17</v>
      </c>
    </row>
    <row r="35" spans="1:9" ht="12.5">
      <c r="A35" s="27">
        <v>728628</v>
      </c>
      <c r="B35" s="28" t="s">
        <v>864</v>
      </c>
      <c r="C35" s="28" t="s">
        <v>865</v>
      </c>
      <c r="D35" s="29" t="s">
        <v>4391</v>
      </c>
      <c r="E35" s="28" t="str">
        <f ca="1">IFERROR(__xludf.DUMMYFUNCTION("GOOGLETRANSLATE(D35)"),"MOS test Excel measures online course [2013] specialist of Excel brother speed MOS measures and pass courses")</f>
        <v>MOS test Excel measures online course [2013] specialist of Excel brother speed MOS measures and pass courses</v>
      </c>
      <c r="F35" s="28" t="s">
        <v>4366</v>
      </c>
      <c r="G35" s="30">
        <v>4.3</v>
      </c>
      <c r="H35" s="31">
        <v>16.77</v>
      </c>
      <c r="I35" s="28" t="s">
        <v>21</v>
      </c>
    </row>
    <row r="36" spans="1:9" ht="12.5">
      <c r="A36" s="27">
        <v>785690</v>
      </c>
      <c r="B36" s="28" t="s">
        <v>102</v>
      </c>
      <c r="C36" s="28" t="s">
        <v>4392</v>
      </c>
      <c r="D36" s="29" t="s">
        <v>4393</v>
      </c>
      <c r="E36" s="28" t="str">
        <f ca="1">IFERROR(__xludf.DUMMYFUNCTION("GOOGLETRANSLATE(D36)"),"So it makes Responsible smartphone site production course more than 70 of enhancement lessons!")</f>
        <v>So it makes Responsible smartphone site production course more than 70 of enhancement lessons!</v>
      </c>
      <c r="F36" s="28" t="s">
        <v>4372</v>
      </c>
      <c r="G36" s="30">
        <v>4.34</v>
      </c>
      <c r="H36" s="31">
        <v>5.63</v>
      </c>
      <c r="I36" s="28" t="s">
        <v>72</v>
      </c>
    </row>
    <row r="37" spans="1:9" ht="12.5">
      <c r="A37" s="27">
        <v>801618</v>
      </c>
      <c r="B37" s="28" t="s">
        <v>102</v>
      </c>
      <c r="C37" s="28" t="s">
        <v>103</v>
      </c>
      <c r="D37" s="29" t="s">
        <v>4394</v>
      </c>
      <c r="E37" s="28" t="str">
        <f ca="1">IFERROR(__xludf.DUMMYFUNCTION("GOOGLETRANSLATE(D37)"),"[No programming required! ] WordPress super introductory which can be in two days")</f>
        <v>[No programming required! ] WordPress super introductory which can be in two days</v>
      </c>
      <c r="F37" s="28" t="s">
        <v>4377</v>
      </c>
      <c r="G37" s="30">
        <v>4.07</v>
      </c>
      <c r="H37" s="31">
        <v>5.26</v>
      </c>
      <c r="I37" s="28" t="s">
        <v>17</v>
      </c>
    </row>
    <row r="38" spans="1:9" ht="12.5">
      <c r="A38" s="27">
        <v>826392</v>
      </c>
      <c r="B38" s="28" t="s">
        <v>225</v>
      </c>
      <c r="C38" s="28" t="s">
        <v>235</v>
      </c>
      <c r="D38" s="29" t="s">
        <v>4395</v>
      </c>
      <c r="E38" s="28" t="str">
        <f ca="1">IFERROR(__xludf.DUMMYFUNCTION("GOOGLETRANSLATE(D38)"),"[Students 30 million people in the world] full-stack · Web engineer courses (2019 latest edition)")</f>
        <v>[Students 30 million people in the world] full-stack · Web engineer courses (2019 latest edition)</v>
      </c>
      <c r="F38" s="28" t="s">
        <v>4377</v>
      </c>
      <c r="G38" s="30">
        <v>4.16</v>
      </c>
      <c r="H38" s="31">
        <v>17.27</v>
      </c>
      <c r="I38" s="28" t="s">
        <v>21</v>
      </c>
    </row>
    <row r="39" spans="1:9" ht="12.5">
      <c r="A39" s="27">
        <v>842614</v>
      </c>
      <c r="B39" s="28" t="s">
        <v>864</v>
      </c>
      <c r="C39" s="28" t="s">
        <v>875</v>
      </c>
      <c r="D39" s="29" t="s">
        <v>4396</v>
      </c>
      <c r="E39" s="28" t="str">
        <f ca="1">IFERROR(__xludf.DUMMYFUNCTION("GOOGLETRANSLATE(D39)"),"PowerPoint super introductory make it understood! Pawapo speed learning to make the presentation materials in 2 hours! Curriculum of instructors to teach in corporate training")</f>
        <v>PowerPoint super introductory make it understood! Pawapo speed learning to make the presentation materials in 2 hours! Curriculum of instructors to teach in corporate training</v>
      </c>
      <c r="F39" s="28" t="s">
        <v>4366</v>
      </c>
      <c r="G39" s="30">
        <v>4.28</v>
      </c>
      <c r="H39" s="31">
        <v>1.94</v>
      </c>
      <c r="I39" s="28" t="s">
        <v>17</v>
      </c>
    </row>
    <row r="40" spans="1:9" ht="12.5">
      <c r="A40" s="27">
        <v>891778</v>
      </c>
      <c r="B40" s="28" t="s">
        <v>913</v>
      </c>
      <c r="C40" s="28" t="s">
        <v>970</v>
      </c>
      <c r="D40" s="29" t="s">
        <v>4397</v>
      </c>
      <c r="E40" s="28" t="str">
        <f ca="1">IFERROR(__xludf.DUMMYFUNCTION("GOOGLETRANSLATE(D40)"),"[Take in two days] clean !! single-lens reflex camera and photographs Introduction to ultra-easy and illustration")</f>
        <v>[Take in two days] clean !! single-lens reflex camera and photographs Introduction to ultra-easy and illustration</v>
      </c>
      <c r="F40" s="28" t="s">
        <v>4398</v>
      </c>
      <c r="G40" s="30">
        <v>4.1900000000000004</v>
      </c>
      <c r="H40" s="31">
        <v>2.77</v>
      </c>
      <c r="I40" s="28" t="s">
        <v>17</v>
      </c>
    </row>
    <row r="41" spans="1:9" ht="12.5">
      <c r="A41" s="28">
        <v>895620</v>
      </c>
      <c r="B41" s="28" t="s">
        <v>225</v>
      </c>
      <c r="C41" s="28" t="s">
        <v>226</v>
      </c>
      <c r="D41" s="29" t="s">
        <v>4399</v>
      </c>
      <c r="E41" s="28" t="str">
        <f ca="1">IFERROR(__xludf.DUMMYFUNCTION("GOOGLETRANSLATE(D41)"),"Course can learn to essential skills from the basic code [programming start from today] / Swift5.x ~ corresponding")</f>
        <v>Course can learn to essential skills from the basic code [programming start from today] / Swift5.x ~ corresponding</v>
      </c>
      <c r="F41" s="28" t="s">
        <v>4400</v>
      </c>
      <c r="G41" s="30">
        <v>4.4400000000000004</v>
      </c>
      <c r="H41" s="31">
        <v>5.17</v>
      </c>
      <c r="I41" s="28" t="s">
        <v>17</v>
      </c>
    </row>
    <row r="42" spans="1:9" ht="12.5">
      <c r="A42" s="28">
        <v>900920</v>
      </c>
      <c r="B42" s="28" t="s">
        <v>768</v>
      </c>
      <c r="C42" s="28" t="s">
        <v>827</v>
      </c>
      <c r="D42" s="29" t="s">
        <v>4401</v>
      </c>
      <c r="E42" s="28" t="str">
        <f ca="1">IFERROR(__xludf.DUMMYFUNCTION("GOOGLETRANSLATE(D42)"),"In the head of ~ designer, a large public-planning in the ""piece of paper"", as possible tell.")</f>
        <v>In the head of ~ designer, a large public-planning in the "piece of paper", as possible tell.</v>
      </c>
      <c r="F42" s="28" t="s">
        <v>4402</v>
      </c>
      <c r="G42" s="30">
        <v>4.12</v>
      </c>
      <c r="H42" s="31">
        <v>2.97</v>
      </c>
      <c r="I42" s="28" t="s">
        <v>21</v>
      </c>
    </row>
    <row r="43" spans="1:9" ht="12.5">
      <c r="A43" s="27">
        <v>927198</v>
      </c>
      <c r="B43" s="28" t="s">
        <v>597</v>
      </c>
      <c r="C43" s="28" t="s">
        <v>604</v>
      </c>
      <c r="D43" s="29" t="s">
        <v>4403</v>
      </c>
      <c r="E43" s="28" t="str">
        <f ca="1">IFERROR(__xludf.DUMMYFUNCTION("GOOGLETRANSLATE(D43)"),"[Can be in three days] Linux server build Introduction of the first time (CentOS 7 · PHP 7 · Docker corresponding)")</f>
        <v>[Can be in three days] Linux server build Introduction of the first time (CentOS 7 · PHP 7 · Docker corresponding)</v>
      </c>
      <c r="F43" s="28" t="s">
        <v>4377</v>
      </c>
      <c r="G43" s="30">
        <v>4.46</v>
      </c>
      <c r="H43" s="31">
        <v>3.14</v>
      </c>
      <c r="I43" s="28" t="s">
        <v>17</v>
      </c>
    </row>
    <row r="44" spans="1:9" ht="12.5">
      <c r="A44" s="28">
        <v>951838</v>
      </c>
      <c r="B44" s="28" t="s">
        <v>672</v>
      </c>
      <c r="C44" s="28" t="s">
        <v>695</v>
      </c>
      <c r="D44" s="29" t="s">
        <v>4404</v>
      </c>
      <c r="E44" s="28" t="str">
        <f ca="1">IFERROR(__xludf.DUMMYFUNCTION("GOOGLETRANSLATE(D44)"),"US MBA professors teach: All MBA from entrepreneurs to IPO")</f>
        <v>US MBA professors teach: All MBA from entrepreneurs to IPO</v>
      </c>
      <c r="F44" s="28" t="s">
        <v>3706</v>
      </c>
      <c r="G44" s="30">
        <v>4.29</v>
      </c>
      <c r="H44" s="31">
        <v>7.77</v>
      </c>
      <c r="I44" s="28" t="s">
        <v>21</v>
      </c>
    </row>
    <row r="45" spans="1:9" ht="12.5">
      <c r="A45" s="27">
        <v>975576</v>
      </c>
      <c r="B45" s="28" t="s">
        <v>557</v>
      </c>
      <c r="C45" s="28" t="s">
        <v>561</v>
      </c>
      <c r="D45" s="29" t="s">
        <v>4405</v>
      </c>
      <c r="E45" s="28" t="str">
        <f ca="1">IFERROR(__xludf.DUMMYFUNCTION("GOOGLETRANSLATE(D45)"),"[Qualification prep school instructor commentary] gap time! Visual bookkeeping Grade 2 [commercial bookkeeping ed.]")</f>
        <v>[Qualification prep school instructor commentary] gap time! Visual bookkeeping Grade 2 [commercial bookkeeping ed.]</v>
      </c>
      <c r="F45" s="28" t="s">
        <v>4370</v>
      </c>
      <c r="G45" s="30">
        <v>4.45</v>
      </c>
      <c r="H45" s="31">
        <v>18.559999999999999</v>
      </c>
      <c r="I45" s="28" t="s">
        <v>72</v>
      </c>
    </row>
    <row r="46" spans="1:9" ht="12.5">
      <c r="A46" s="28">
        <v>986380</v>
      </c>
      <c r="B46" s="28" t="s">
        <v>31</v>
      </c>
      <c r="C46" s="28" t="s">
        <v>32</v>
      </c>
      <c r="D46" s="29" t="s">
        <v>4406</v>
      </c>
      <c r="E46" s="28" t="str">
        <f ca="1">IFERROR(__xludf.DUMMYFUNCTION("GOOGLETRANSLATE(D46)"),"Python in machine learning: identification Introduction to learn in scikit-learn")</f>
        <v>Python in machine learning: identification Introduction to learn in scikit-learn</v>
      </c>
      <c r="F46" s="28" t="s">
        <v>4347</v>
      </c>
      <c r="G46" s="30">
        <v>4.05</v>
      </c>
      <c r="H46" s="31">
        <v>9.18</v>
      </c>
      <c r="I46" s="28" t="s">
        <v>21</v>
      </c>
    </row>
    <row r="47" spans="1:9" ht="12.5">
      <c r="A47" s="28">
        <v>992866</v>
      </c>
      <c r="B47" s="28" t="s">
        <v>768</v>
      </c>
      <c r="C47" s="28" t="s">
        <v>820</v>
      </c>
      <c r="D47" s="29" t="s">
        <v>4407</v>
      </c>
      <c r="E47" s="28" t="str">
        <f ca="1">IFERROR(__xludf.DUMMYFUNCTION("GOOGLETRANSLATE(D47)"),"[1 day complete] Premiere Pro how to use - the video creators course - of")</f>
        <v>[1 day complete] Premiere Pro how to use - the video creators course - of</v>
      </c>
      <c r="F47" s="28" t="s">
        <v>4380</v>
      </c>
      <c r="G47" s="30">
        <v>4.43</v>
      </c>
      <c r="H47" s="31">
        <v>3.05</v>
      </c>
      <c r="I47" s="28" t="s">
        <v>17</v>
      </c>
    </row>
    <row r="48" spans="1:9" ht="12.5">
      <c r="A48" s="28">
        <v>1012796</v>
      </c>
      <c r="B48" s="28" t="s">
        <v>864</v>
      </c>
      <c r="C48" s="28" t="s">
        <v>865</v>
      </c>
      <c r="D48" s="29" t="s">
        <v>4408</v>
      </c>
      <c r="E48" s="28" t="str">
        <f ca="1">IFERROR(__xludf.DUMMYFUNCTION("GOOGLETRANSLATE(D48)"),"The road to Excel expert certification [MOS qualified expert exam online courses] Excel brother speed MOS pass course")</f>
        <v>The road to Excel expert certification [MOS qualified expert exam online courses] Excel brother speed MOS pass course</v>
      </c>
      <c r="F48" s="28" t="s">
        <v>4366</v>
      </c>
      <c r="G48" s="30">
        <v>4.55</v>
      </c>
      <c r="H48" s="31">
        <v>12.61</v>
      </c>
      <c r="I48" s="28" t="s">
        <v>21</v>
      </c>
    </row>
    <row r="49" spans="1:9" ht="12.5">
      <c r="A49" s="28">
        <v>1014354</v>
      </c>
      <c r="B49" s="28" t="s">
        <v>31</v>
      </c>
      <c r="C49" s="28" t="s">
        <v>32</v>
      </c>
      <c r="D49" s="29" t="s">
        <v>4409</v>
      </c>
      <c r="E49" s="28" t="str">
        <f ca="1">IFERROR(__xludf.DUMMYFUNCTION("GOOGLETRANSLATE(D49)"),"Artificial intelligence and machine learning to learn in Python from everyone's AI course zero [the latest version 2020]")</f>
        <v>Artificial intelligence and machine learning to learn in Python from everyone's AI course zero [the latest version 2020]</v>
      </c>
      <c r="F49" s="28" t="s">
        <v>4410</v>
      </c>
      <c r="G49" s="30">
        <v>4.28</v>
      </c>
      <c r="H49" s="31">
        <v>12.91</v>
      </c>
      <c r="I49" s="28" t="s">
        <v>17</v>
      </c>
    </row>
    <row r="50" spans="1:9" ht="12.5">
      <c r="A50" s="27">
        <v>1015438</v>
      </c>
      <c r="B50" s="28" t="s">
        <v>31</v>
      </c>
      <c r="C50" s="28" t="s">
        <v>32</v>
      </c>
      <c r="D50" s="29" t="s">
        <v>4411</v>
      </c>
      <c r="E50" s="28" t="str">
        <f ca="1">IFERROR(__xludf.DUMMYFUNCTION("GOOGLETRANSLATE(D50)"),"Machine Learning Practice course for application developers")</f>
        <v>Machine Learning Practice course for application developers</v>
      </c>
      <c r="F50" s="28" t="s">
        <v>4412</v>
      </c>
      <c r="G50" s="30">
        <v>4.28</v>
      </c>
      <c r="H50" s="31">
        <v>2.82</v>
      </c>
      <c r="I50" s="28" t="s">
        <v>72</v>
      </c>
    </row>
    <row r="51" spans="1:9" ht="12.5">
      <c r="A51" s="27">
        <v>1037862</v>
      </c>
      <c r="B51" s="28" t="s">
        <v>225</v>
      </c>
      <c r="C51" s="28" t="s">
        <v>235</v>
      </c>
      <c r="D51" s="29" t="s">
        <v>4413</v>
      </c>
      <c r="E51" s="28" t="str">
        <f ca="1">IFERROR(__xludf.DUMMYFUNCTION("GOOGLETRANSLATE(D51)"),"Django that [Python 3 x Django 2.0] remember while making")</f>
        <v>Django that [Python 3 x Django 2.0] remember while making</v>
      </c>
      <c r="F51" s="28" t="s">
        <v>4414</v>
      </c>
      <c r="G51" s="30">
        <v>4.18</v>
      </c>
      <c r="H51" s="31">
        <v>9</v>
      </c>
      <c r="I51" s="28" t="s">
        <v>17</v>
      </c>
    </row>
    <row r="52" spans="1:9" ht="12.5">
      <c r="A52" s="28">
        <v>1049854</v>
      </c>
      <c r="B52" s="28" t="s">
        <v>31</v>
      </c>
      <c r="C52" s="28" t="s">
        <v>44</v>
      </c>
      <c r="D52" s="29" t="s">
        <v>4415</v>
      </c>
      <c r="E52" s="28" t="str">
        <f ca="1">IFERROR(__xludf.DUMMYFUNCTION("GOOGLETRANSLATE(D52)"),"[4 days experience! ] TensorFlow, Keras, deep learning experience courses to learn in Python 3")</f>
        <v>[4 days experience! ] TensorFlow, Keras, deep learning experience courses to learn in Python 3</v>
      </c>
      <c r="F52" s="28" t="s">
        <v>4377</v>
      </c>
      <c r="G52" s="30">
        <v>4.13</v>
      </c>
      <c r="H52" s="31">
        <v>4.3099999999999996</v>
      </c>
      <c r="I52" s="28" t="s">
        <v>17</v>
      </c>
    </row>
    <row r="53" spans="1:9" ht="12.5">
      <c r="A53" s="28">
        <v>1062156</v>
      </c>
      <c r="B53" s="28" t="s">
        <v>864</v>
      </c>
      <c r="C53" s="28" t="s">
        <v>875</v>
      </c>
      <c r="D53" s="29" t="s">
        <v>4416</v>
      </c>
      <c r="E53" s="28" t="str">
        <f ca="1">IFERROR(__xludf.DUMMYFUNCTION("GOOGLETRANSLATE(D53)"),"Sense unnecessary! Design rules [introductory] of the transmitted presentation materials")</f>
        <v>Sense unnecessary! Design rules [introductory] of the transmitted presentation materials</v>
      </c>
      <c r="F53" s="28" t="s">
        <v>4417</v>
      </c>
      <c r="G53" s="30">
        <v>4.4400000000000004</v>
      </c>
      <c r="H53" s="31">
        <v>1.81</v>
      </c>
      <c r="I53" s="28" t="s">
        <v>17</v>
      </c>
    </row>
    <row r="54" spans="1:9" ht="12.5">
      <c r="A54" s="28">
        <v>1081802</v>
      </c>
      <c r="B54" s="28" t="s">
        <v>225</v>
      </c>
      <c r="C54" s="28" t="s">
        <v>229</v>
      </c>
      <c r="D54" s="29" t="s">
        <v>4418</v>
      </c>
      <c r="E54" s="28" t="str">
        <f ca="1">IFERROR(__xludf.DUMMYFUNCTION("GOOGLETRANSLATE(D54)"),"Git: first of Git and GitHub")</f>
        <v>Git: first of Git and GitHub</v>
      </c>
      <c r="F54" s="28" t="s">
        <v>4419</v>
      </c>
      <c r="G54" s="30">
        <v>4.42</v>
      </c>
      <c r="H54" s="31">
        <v>1.1100000000000001</v>
      </c>
      <c r="I54" s="28" t="s">
        <v>17</v>
      </c>
    </row>
    <row r="55" spans="1:9" ht="12.5">
      <c r="A55" s="28">
        <v>1098334</v>
      </c>
      <c r="B55" s="28" t="s">
        <v>31</v>
      </c>
      <c r="C55" s="28" t="s">
        <v>1161</v>
      </c>
      <c r="D55" s="29" t="s">
        <v>4420</v>
      </c>
      <c r="E55" s="28" t="str">
        <f ca="1">IFERROR(__xludf.DUMMYFUNCTION("GOOGLETRANSLATE(D55)"),"[Recap from zero] basis of statistics")</f>
        <v>[Recap from zero] basis of statistics</v>
      </c>
      <c r="F55" s="28" t="s">
        <v>4421</v>
      </c>
      <c r="G55" s="30">
        <v>4.12</v>
      </c>
      <c r="H55" s="31">
        <v>2.39</v>
      </c>
      <c r="I55" s="28" t="s">
        <v>17</v>
      </c>
    </row>
    <row r="56" spans="1:9" ht="12.5">
      <c r="A56" s="27">
        <v>1104546</v>
      </c>
      <c r="B56" s="28" t="s">
        <v>102</v>
      </c>
      <c r="C56" s="28" t="s">
        <v>116</v>
      </c>
      <c r="D56" s="29" t="s">
        <v>4422</v>
      </c>
      <c r="E56" s="28" t="str">
        <f ca="1">IFERROR(__xludf.DUMMYFUNCTION("GOOGLETRANSLATE(D56)"),"Adobe Character Animator: your face the camera recognition, beginner class to create an avatar of your own")</f>
        <v>Adobe Character Animator: your face the camera recognition, beginner class to create an avatar of your own</v>
      </c>
      <c r="F56" s="28" t="s">
        <v>4380</v>
      </c>
      <c r="G56" s="30">
        <v>4.43</v>
      </c>
      <c r="H56" s="31">
        <v>2.37</v>
      </c>
      <c r="I56" s="28" t="s">
        <v>21</v>
      </c>
    </row>
    <row r="57" spans="1:9" ht="12.5">
      <c r="A57" s="27">
        <v>1134722</v>
      </c>
      <c r="B57" s="28" t="s">
        <v>225</v>
      </c>
      <c r="C57" s="28" t="s">
        <v>398</v>
      </c>
      <c r="D57" s="29" t="s">
        <v>4423</v>
      </c>
      <c r="E57" s="28" t="str">
        <f ca="1">IFERROR(__xludf.DUMMYFUNCTION("GOOGLETRANSLATE(D57)"),"Active Silicon Valley engineers teach Python 3 Introduction + application + the United States of Silicon Valley flow code style")</f>
        <v>Active Silicon Valley engineers teach Python 3 Introduction + application + the United States of Silicon Valley flow code style</v>
      </c>
      <c r="F57" s="28" t="s">
        <v>4424</v>
      </c>
      <c r="G57" s="30">
        <v>4.4000000000000004</v>
      </c>
      <c r="H57" s="31">
        <v>28.51</v>
      </c>
      <c r="I57" s="28" t="s">
        <v>17</v>
      </c>
    </row>
    <row r="58" spans="1:9" ht="12.5">
      <c r="A58" s="27">
        <v>1142464</v>
      </c>
      <c r="B58" s="28" t="s">
        <v>225</v>
      </c>
      <c r="C58" s="28" t="s">
        <v>229</v>
      </c>
      <c r="D58" s="29" t="s">
        <v>4425</v>
      </c>
      <c r="E58" s="28" t="str">
        <f ca="1">IFERROR(__xludf.DUMMYFUNCTION("GOOGLETRANSLATE(D58)"),"Git: no longer afraid Git! Fully master the necessary Git in team development")</f>
        <v>Git: no longer afraid Git! Fully master the necessary Git in team development</v>
      </c>
      <c r="F58" s="28" t="s">
        <v>4419</v>
      </c>
      <c r="G58" s="30">
        <v>4.4800000000000004</v>
      </c>
      <c r="H58" s="31">
        <v>5.59</v>
      </c>
      <c r="I58" s="28" t="s">
        <v>21</v>
      </c>
    </row>
    <row r="59" spans="1:9" ht="12.5">
      <c r="A59" s="28">
        <v>1158302</v>
      </c>
      <c r="B59" s="28" t="s">
        <v>597</v>
      </c>
      <c r="C59" s="28" t="s">
        <v>598</v>
      </c>
      <c r="D59" s="29" t="s">
        <v>4426</v>
      </c>
      <c r="E59" s="28" t="str">
        <f ca="1">IFERROR(__xludf.DUMMYFUNCTION("GOOGLETRANSLATE(D59)"),"[Learn in five days] Information Security Management Introduction (Python 3 / Kali Linux)")</f>
        <v>[Learn in five days] Information Security Management Introduction (Python 3 / Kali Linux)</v>
      </c>
      <c r="F59" s="28" t="s">
        <v>4377</v>
      </c>
      <c r="G59" s="30">
        <v>3.95</v>
      </c>
      <c r="H59" s="31">
        <v>5.32</v>
      </c>
      <c r="I59" s="28" t="s">
        <v>17</v>
      </c>
    </row>
    <row r="60" spans="1:9" ht="12.5">
      <c r="A60" s="27">
        <v>1159278</v>
      </c>
      <c r="B60" s="28" t="s">
        <v>225</v>
      </c>
      <c r="C60" s="28" t="s">
        <v>226</v>
      </c>
      <c r="D60" s="29" t="s">
        <v>4427</v>
      </c>
      <c r="E60" s="28" t="str">
        <f ca="1">IFERROR(__xludf.DUMMYFUNCTION("GOOGLETRANSLATE(D60)"),"Learn from the basics of Ruby on Rails 5 Introduction -Ruby programming -")</f>
        <v>Learn from the basics of Ruby on Rails 5 Introduction -Ruby programming -</v>
      </c>
      <c r="F60" s="28" t="s">
        <v>4428</v>
      </c>
      <c r="G60" s="30">
        <v>3.93</v>
      </c>
      <c r="H60" s="31">
        <v>3.68</v>
      </c>
      <c r="I60" s="28" t="s">
        <v>17</v>
      </c>
    </row>
    <row r="61" spans="1:9" ht="12.5">
      <c r="A61" s="28">
        <v>1159316</v>
      </c>
      <c r="B61" s="28" t="s">
        <v>225</v>
      </c>
      <c r="C61" s="28" t="s">
        <v>226</v>
      </c>
      <c r="D61" s="29" t="s">
        <v>4429</v>
      </c>
      <c r="E61" s="28" t="str">
        <f ca="1">IFERROR(__xludf.DUMMYFUNCTION("GOOGLETRANSLATE(D61)"),"Safely in programming beginner, Python / Django introductory course")</f>
        <v>Safely in programming beginner, Python / Django introductory course</v>
      </c>
      <c r="F61" s="28" t="s">
        <v>4430</v>
      </c>
      <c r="G61" s="30">
        <v>4.38</v>
      </c>
      <c r="H61" s="31">
        <v>16.8</v>
      </c>
      <c r="I61" s="28" t="s">
        <v>17</v>
      </c>
    </row>
    <row r="62" spans="1:9" ht="12.5">
      <c r="A62" s="28">
        <v>1165632</v>
      </c>
      <c r="B62" s="28" t="s">
        <v>31</v>
      </c>
      <c r="C62" s="28" t="s">
        <v>37</v>
      </c>
      <c r="D62" s="29" t="s">
        <v>4431</v>
      </c>
      <c r="E62" s="28" t="str">
        <f ca="1">IFERROR(__xludf.DUMMYFUNCTION("GOOGLETRANSLATE(D62)"),"[Learn in one day] technology Python data analysis for the person")</f>
        <v>[Learn in one day] technology Python data analysis for the person</v>
      </c>
      <c r="F62" s="28" t="s">
        <v>4432</v>
      </c>
      <c r="G62" s="30">
        <v>4.1900000000000004</v>
      </c>
      <c r="H62" s="31">
        <v>8.59</v>
      </c>
      <c r="I62" s="28" t="s">
        <v>17</v>
      </c>
    </row>
    <row r="63" spans="1:9" ht="12.5">
      <c r="A63" s="28">
        <v>1187046</v>
      </c>
      <c r="B63" s="28" t="s">
        <v>31</v>
      </c>
      <c r="C63" s="28" t="s">
        <v>44</v>
      </c>
      <c r="D63" s="29" t="s">
        <v>4433</v>
      </c>
      <c r="E63" s="28" t="str">
        <f ca="1">IFERROR(__xludf.DUMMYFUNCTION("GOOGLETRANSLATE(D63)"),"Neural network to create from zero [in NumPy · Python3]")</f>
        <v>Neural network to create from zero [in NumPy · Python3]</v>
      </c>
      <c r="F63" s="28" t="s">
        <v>4377</v>
      </c>
      <c r="G63" s="30">
        <v>4.28</v>
      </c>
      <c r="H63" s="31">
        <v>3.68</v>
      </c>
      <c r="I63" s="28" t="s">
        <v>21</v>
      </c>
    </row>
    <row r="64" spans="1:9" ht="12.5">
      <c r="A64" s="28">
        <v>1187504</v>
      </c>
      <c r="B64" s="28" t="s">
        <v>102</v>
      </c>
      <c r="C64" s="28" t="s">
        <v>116</v>
      </c>
      <c r="D64" s="29" t="s">
        <v>4434</v>
      </c>
      <c r="E64" s="28" t="str">
        <f ca="1">IFERROR(__xludf.DUMMYFUNCTION("GOOGLETRANSLATE(D64)"),"Premiere Pro / AfterEffects cc new features Essential graphics and how to take advantage of")</f>
        <v>Premiere Pro / AfterEffects cc new features Essential graphics and how to take advantage of</v>
      </c>
      <c r="F64" s="28" t="s">
        <v>4380</v>
      </c>
      <c r="G64" s="30">
        <v>4.4800000000000004</v>
      </c>
      <c r="H64" s="31">
        <v>1.76</v>
      </c>
      <c r="I64" s="28" t="s">
        <v>17</v>
      </c>
    </row>
    <row r="65" spans="1:9" ht="12.5">
      <c r="A65" s="27">
        <v>1213286</v>
      </c>
      <c r="B65" s="28" t="s">
        <v>225</v>
      </c>
      <c r="C65" s="28" t="s">
        <v>235</v>
      </c>
      <c r="D65" s="29" t="s">
        <v>4435</v>
      </c>
      <c r="E65" s="28" t="str">
        <f ca="1">IFERROR(__xludf.DUMMYFUNCTION("GOOGLETRANSLATE(D65)"),"[It can be in three days] Django Introduction (to create a web application in Python 3 published in the AWS EC2!)")</f>
        <v>[It can be in three days] Django Introduction (to create a web application in Python 3 published in the AWS EC2!)</v>
      </c>
      <c r="F65" s="28" t="s">
        <v>4377</v>
      </c>
      <c r="G65" s="30">
        <v>4.24</v>
      </c>
      <c r="H65" s="31">
        <v>4.57</v>
      </c>
      <c r="I65" s="28" t="s">
        <v>17</v>
      </c>
    </row>
    <row r="66" spans="1:9" ht="12.5">
      <c r="A66" s="28">
        <v>1227216</v>
      </c>
      <c r="B66" s="28" t="s">
        <v>225</v>
      </c>
      <c r="C66" s="28" t="s">
        <v>226</v>
      </c>
      <c r="D66" s="29" t="s">
        <v>4436</v>
      </c>
      <c r="E66" s="28" t="str">
        <f ca="1">IFERROR(__xludf.DUMMYFUNCTION("GOOGLETRANSLATE(D66)"),"I used to work at the fastest in the novice C #!")</f>
        <v>I used to work at the fastest in the novice C #!</v>
      </c>
      <c r="F66" s="28" t="s">
        <v>4437</v>
      </c>
      <c r="G66" s="30">
        <v>4.3499999999999996</v>
      </c>
      <c r="H66" s="31">
        <v>6.86</v>
      </c>
      <c r="I66" s="28" t="s">
        <v>17</v>
      </c>
    </row>
    <row r="67" spans="1:9" ht="12.5">
      <c r="A67" s="27">
        <v>1227488</v>
      </c>
      <c r="B67" s="28" t="s">
        <v>864</v>
      </c>
      <c r="C67" s="28" t="s">
        <v>865</v>
      </c>
      <c r="D67" s="29" t="s">
        <v>4438</v>
      </c>
      <c r="E67" s="28" t="str">
        <f ca="1">IFERROR(__xludf.DUMMYFUNCTION("GOOGLETRANSLATE(D67)"),"[From the beginner to the financial professional] business simulation course master course to learn in Excel")</f>
        <v>[From the beginner to the financial professional] business simulation course master course to learn in Excel</v>
      </c>
      <c r="F67" s="28" t="s">
        <v>4439</v>
      </c>
      <c r="G67" s="30">
        <v>4.46</v>
      </c>
      <c r="H67" s="31">
        <v>6.74</v>
      </c>
      <c r="I67" s="28" t="s">
        <v>21</v>
      </c>
    </row>
    <row r="68" spans="1:9" ht="12.5">
      <c r="A68" s="27">
        <v>1252262</v>
      </c>
      <c r="B68" s="28" t="s">
        <v>31</v>
      </c>
      <c r="C68" s="28" t="s">
        <v>1161</v>
      </c>
      <c r="D68" s="29" t="s">
        <v>4440</v>
      </c>
      <c r="E68" s="28" t="str">
        <f ca="1">IFERROR(__xludf.DUMMYFUNCTION("GOOGLETRANSLATE(D68)"),"R Dehajimeru Statistics Basic Course")</f>
        <v>R Dehajimeru Statistics Basic Course</v>
      </c>
      <c r="F68" s="28" t="s">
        <v>4441</v>
      </c>
      <c r="G68" s="30">
        <v>4.25</v>
      </c>
      <c r="H68" s="31">
        <v>6.05</v>
      </c>
      <c r="I68" s="28" t="s">
        <v>17</v>
      </c>
    </row>
    <row r="69" spans="1:9" ht="12.5">
      <c r="A69" s="27">
        <v>1257240</v>
      </c>
      <c r="B69" s="28" t="s">
        <v>225</v>
      </c>
      <c r="C69" s="28" t="s">
        <v>278</v>
      </c>
      <c r="D69" s="29" t="s">
        <v>4442</v>
      </c>
      <c r="E69" s="28" t="str">
        <f ca="1">IFERROR(__xludf.DUMMYFUNCTION("GOOGLETRANSLATE(D69)"),"Basics of iPhone app development to learn in Swift from everyone of iOS course zero")</f>
        <v>Basics of iPhone app development to learn in Swift from everyone of iOS course zero</v>
      </c>
      <c r="F69" s="28" t="s">
        <v>4410</v>
      </c>
      <c r="G69" s="30">
        <v>4.28</v>
      </c>
      <c r="H69" s="31">
        <v>7.18</v>
      </c>
      <c r="I69" s="28" t="s">
        <v>17</v>
      </c>
    </row>
    <row r="70" spans="1:9" ht="12.5">
      <c r="A70" s="27">
        <v>1259190</v>
      </c>
      <c r="B70" s="28" t="s">
        <v>597</v>
      </c>
      <c r="C70" s="28" t="s">
        <v>598</v>
      </c>
      <c r="D70" s="29" t="s">
        <v>4443</v>
      </c>
      <c r="E70" s="28" t="str">
        <f ca="1">IFERROR(__xludf.DUMMYFUNCTION("GOOGLETRANSLATE(D70)"),"[Information security] Ethical Hacking: White hacker Getting Started")</f>
        <v>[Information security] Ethical Hacking: White hacker Getting Started</v>
      </c>
      <c r="F70" s="28" t="s">
        <v>4444</v>
      </c>
      <c r="G70" s="30">
        <v>4.18</v>
      </c>
      <c r="H70" s="31">
        <v>7.38</v>
      </c>
      <c r="I70" s="28" t="s">
        <v>72</v>
      </c>
    </row>
    <row r="71" spans="1:9" ht="12.5">
      <c r="A71" s="28">
        <v>1266664</v>
      </c>
      <c r="B71" s="28" t="s">
        <v>225</v>
      </c>
      <c r="C71" s="28" t="s">
        <v>278</v>
      </c>
      <c r="D71" s="29" t="s">
        <v>4445</v>
      </c>
      <c r="E71" s="28" t="str">
        <f ca="1">IFERROR(__xludf.DUMMYFUNCTION("GOOGLETRANSLATE(D71)"),"Learn to make the iOS 13 application development Getting Started definitive edition 20 of the application [fast learning in six days] (Xcode 11, Swift 5 in the corresponding)")</f>
        <v>Learn to make the iOS 13 application development Getting Started definitive edition 20 of the application [fast learning in six days] (Xcode 11, Swift 5 in the corresponding)</v>
      </c>
      <c r="F71" s="28" t="s">
        <v>4377</v>
      </c>
      <c r="G71" s="30">
        <v>4.01</v>
      </c>
      <c r="H71" s="31">
        <v>4.72</v>
      </c>
      <c r="I71" s="28" t="s">
        <v>17</v>
      </c>
    </row>
    <row r="72" spans="1:9" ht="12.5">
      <c r="A72" s="28">
        <v>1282316</v>
      </c>
      <c r="B72" s="28" t="s">
        <v>102</v>
      </c>
      <c r="C72" s="28" t="s">
        <v>116</v>
      </c>
      <c r="D72" s="29" t="s">
        <v>4446</v>
      </c>
      <c r="E72" s="28" t="str">
        <f ca="1">IFERROR(__xludf.DUMMYFUNCTION("GOOGLETRANSLATE(D72)"),"After Effects cc: for the first time of VisualEffects! VFX video production professionally teach")</f>
        <v>After Effects cc: for the first time of VisualEffects! VFX video production professionally teach</v>
      </c>
      <c r="F72" s="28" t="s">
        <v>4380</v>
      </c>
      <c r="G72" s="30">
        <v>4.57</v>
      </c>
      <c r="H72" s="31">
        <v>6.76</v>
      </c>
      <c r="I72" s="28" t="s">
        <v>21</v>
      </c>
    </row>
    <row r="73" spans="1:9" ht="12.5">
      <c r="A73" s="27">
        <v>1312406</v>
      </c>
      <c r="B73" s="28" t="s">
        <v>225</v>
      </c>
      <c r="C73" s="28" t="s">
        <v>235</v>
      </c>
      <c r="D73" s="29" t="s">
        <v>4447</v>
      </c>
      <c r="E73" s="28" t="str">
        <f ca="1">IFERROR(__xludf.DUMMYFUNCTION("GOOGLETRANSLATE(D73)"),"Web application practice course made of Node.js + Express")</f>
        <v>Web application practice course made of Node.js + Express</v>
      </c>
      <c r="F73" s="28" t="s">
        <v>4448</v>
      </c>
      <c r="G73" s="30">
        <v>4</v>
      </c>
      <c r="H73" s="31">
        <v>14.03</v>
      </c>
      <c r="I73" s="28" t="s">
        <v>72</v>
      </c>
    </row>
    <row r="74" spans="1:9" ht="12.5">
      <c r="A74" s="28">
        <v>1315926</v>
      </c>
      <c r="B74" s="28" t="s">
        <v>31</v>
      </c>
      <c r="C74" s="28" t="s">
        <v>32</v>
      </c>
      <c r="D74" s="29" t="s">
        <v>4449</v>
      </c>
      <c r="E74" s="28" t="str">
        <f ca="1">IFERROR(__xludf.DUMMYFUNCTION("GOOGLETRANSLATE(D74)"),"[Learn in TensorFlow · Keras time-series data processing Introduction (RNN / LSTM, Word2Vec)")</f>
        <v>[Learn in TensorFlow · Keras time-series data processing Introduction (RNN / LSTM, Word2Vec)</v>
      </c>
      <c r="F74" s="28" t="s">
        <v>4377</v>
      </c>
      <c r="G74" s="30">
        <v>3.64</v>
      </c>
      <c r="H74" s="31">
        <v>6.06</v>
      </c>
      <c r="I74" s="28" t="s">
        <v>17</v>
      </c>
    </row>
    <row r="75" spans="1:9" ht="12.5">
      <c r="A75" s="28">
        <v>1317912</v>
      </c>
      <c r="B75" s="28" t="s">
        <v>768</v>
      </c>
      <c r="C75" s="28" t="s">
        <v>769</v>
      </c>
      <c r="D75" s="29" t="s">
        <v>4450</v>
      </c>
      <c r="E75" s="28" t="str">
        <f ca="1">IFERROR(__xludf.DUMMYFUNCTION("GOOGLETRANSLATE(D75)"),"SNS take advantage of basic course to contribute to the sales of the company (emphasis with commentary of corporate blog use)")</f>
        <v>SNS take advantage of basic course to contribute to the sales of the company (emphasis with commentary of corporate blog use)</v>
      </c>
      <c r="F75" s="28" t="s">
        <v>4451</v>
      </c>
      <c r="G75" s="30">
        <v>3.71</v>
      </c>
      <c r="H75" s="31">
        <v>6.51</v>
      </c>
      <c r="I75" s="28" t="s">
        <v>17</v>
      </c>
    </row>
    <row r="76" spans="1:9" ht="12.5">
      <c r="A76" s="28">
        <v>1326866</v>
      </c>
      <c r="B76" s="28" t="s">
        <v>31</v>
      </c>
      <c r="C76" s="28" t="s">
        <v>1161</v>
      </c>
      <c r="D76" s="29" t="s">
        <v>4452</v>
      </c>
      <c r="E76" s="28" t="str">
        <f ca="1">IFERROR(__xludf.DUMMYFUNCTION("GOOGLETRANSLATE(D76)"),"Computer vision mathematical basis: optimization study in formulas and Python and the least squares problem")</f>
        <v>Computer vision mathematical basis: optimization study in formulas and Python and the least squares problem</v>
      </c>
      <c r="F76" s="28" t="s">
        <v>4347</v>
      </c>
      <c r="G76" s="30">
        <v>4.24</v>
      </c>
      <c r="H76" s="31">
        <v>15.18</v>
      </c>
      <c r="I76" s="28" t="s">
        <v>259</v>
      </c>
    </row>
    <row r="77" spans="1:9" ht="12.5">
      <c r="A77" s="28">
        <v>1327858</v>
      </c>
      <c r="B77" s="28" t="s">
        <v>913</v>
      </c>
      <c r="C77" s="28" t="s">
        <v>914</v>
      </c>
      <c r="D77" s="29" t="s">
        <v>4453</v>
      </c>
      <c r="E77" s="28" t="str">
        <f ca="1">IFERROR(__xludf.DUMMYFUNCTION("GOOGLETRANSLATE(D77)"),"Immediately speak Chinese pronunciation ed.")</f>
        <v>Immediately speak Chinese pronunciation ed.</v>
      </c>
      <c r="F77" s="28" t="s">
        <v>4454</v>
      </c>
      <c r="G77" s="30">
        <v>4.47</v>
      </c>
      <c r="H77" s="31">
        <v>0.72</v>
      </c>
      <c r="I77" s="28" t="s">
        <v>17</v>
      </c>
    </row>
    <row r="78" spans="1:9" ht="12.5">
      <c r="A78" s="28">
        <v>1333456</v>
      </c>
      <c r="B78" s="28" t="s">
        <v>597</v>
      </c>
      <c r="C78" s="28" t="s">
        <v>598</v>
      </c>
      <c r="D78" s="29" t="s">
        <v>4455</v>
      </c>
      <c r="E78" s="28" t="str">
        <f ca="1">IFERROR(__xludf.DUMMYFUNCTION("GOOGLETRANSLATE(D78)"),"[Cyber ​​security hands-on] hacking technology Introduction (Intrusion ed.)")</f>
        <v>[Cyber ​​security hands-on] hacking technology Introduction (Intrusion ed.)</v>
      </c>
      <c r="F78" s="28" t="s">
        <v>4456</v>
      </c>
      <c r="G78" s="30">
        <v>4.0999999999999996</v>
      </c>
      <c r="H78" s="31">
        <v>9.15</v>
      </c>
      <c r="I78" s="28" t="s">
        <v>17</v>
      </c>
    </row>
    <row r="79" spans="1:9" ht="12.5">
      <c r="A79" s="27">
        <v>1334522</v>
      </c>
      <c r="B79" s="28" t="s">
        <v>225</v>
      </c>
      <c r="C79" s="28" t="s">
        <v>235</v>
      </c>
      <c r="D79" s="29" t="s">
        <v>4457</v>
      </c>
      <c r="E79" s="28" t="str">
        <f ca="1">IFERROR(__xludf.DUMMYFUNCTION("GOOGLETRANSLATE(D79)"),"Web Introduction to Programming of people who want to be [HTML / CSS / JavaScript] front-end engineer")</f>
        <v>Web Introduction to Programming of people who want to be [HTML / CSS / JavaScript] front-end engineer</v>
      </c>
      <c r="F79" s="28" t="s">
        <v>4458</v>
      </c>
      <c r="G79" s="30">
        <v>4.47</v>
      </c>
      <c r="H79" s="31">
        <v>9.0500000000000007</v>
      </c>
      <c r="I79" s="28" t="s">
        <v>17</v>
      </c>
    </row>
    <row r="80" spans="1:9" ht="12.5">
      <c r="A80" s="28">
        <v>1334670</v>
      </c>
      <c r="B80" s="28" t="s">
        <v>913</v>
      </c>
      <c r="C80" s="28" t="s">
        <v>914</v>
      </c>
      <c r="D80" s="29" t="s">
        <v>4459</v>
      </c>
      <c r="E80" s="28" t="str">
        <f ca="1">IFERROR(__xludf.DUMMYFUNCTION("GOOGLETRANSLATE(D80)"),"Chinese grammar ed immediately speak")</f>
        <v>Chinese grammar ed immediately speak</v>
      </c>
      <c r="F80" s="28" t="s">
        <v>4454</v>
      </c>
      <c r="G80" s="30">
        <v>4.05</v>
      </c>
      <c r="H80" s="31">
        <v>0.5</v>
      </c>
      <c r="I80" s="28" t="s">
        <v>17</v>
      </c>
    </row>
    <row r="81" spans="1:9" ht="12.5">
      <c r="A81" s="28">
        <v>1335752</v>
      </c>
      <c r="B81" s="28" t="s">
        <v>597</v>
      </c>
      <c r="C81" s="28" t="s">
        <v>604</v>
      </c>
      <c r="D81" s="29" t="s">
        <v>4460</v>
      </c>
      <c r="E81" s="28" t="str">
        <f ca="1">IFERROR(__xludf.DUMMYFUNCTION("GOOGLETRANSLATE(D81)"),"The first time a Linux server build operational Getting Started - learn from based on the Linux command line, can build up their own web server")</f>
        <v>The first time a Linux server build operational Getting Started - learn from based on the Linux command line, can build up their own web server</v>
      </c>
      <c r="F81" s="28" t="s">
        <v>4428</v>
      </c>
      <c r="G81" s="30">
        <v>4.16</v>
      </c>
      <c r="H81" s="31">
        <v>6.76</v>
      </c>
      <c r="I81" s="28" t="s">
        <v>17</v>
      </c>
    </row>
    <row r="82" spans="1:9" ht="12.5">
      <c r="A82" s="28">
        <v>1337406</v>
      </c>
      <c r="B82" s="28" t="s">
        <v>1082</v>
      </c>
      <c r="C82" s="28" t="s">
        <v>1086</v>
      </c>
      <c r="D82" s="29" t="s">
        <v>4461</v>
      </c>
      <c r="E82" s="28" t="str">
        <f ca="1">IFERROR(__xludf.DUMMYFUNCTION("GOOGLETRANSLATE(D82)"),"Job hunting students working people first grade businessman of speaking, how to tell (logical speech) course This presentation also interview not be afraid! !")</f>
        <v>Job hunting students working people first grade businessman of speaking, how to tell (logical speech) course This presentation also interview not be afraid! !</v>
      </c>
      <c r="F82" s="28" t="s">
        <v>4462</v>
      </c>
      <c r="G82" s="30">
        <v>4.16</v>
      </c>
      <c r="H82" s="31">
        <v>1.65</v>
      </c>
      <c r="I82" s="28" t="s">
        <v>17</v>
      </c>
    </row>
    <row r="83" spans="1:9" ht="12.5">
      <c r="A83" s="28">
        <v>1340912</v>
      </c>
      <c r="B83" s="28" t="s">
        <v>768</v>
      </c>
      <c r="C83" s="28" t="s">
        <v>827</v>
      </c>
      <c r="D83" s="29" t="s">
        <v>4463</v>
      </c>
      <c r="E83" s="28" t="str">
        <f ca="1">IFERROR(__xludf.DUMMYFUNCTION("GOOGLETRANSLATE(D83)"),"Web Ad Operations surgery go up for sale in a high close rate LP construction method × explosive")</f>
        <v>Web Ad Operations surgery go up for sale in a high close rate LP construction method × explosive</v>
      </c>
      <c r="F83" s="28" t="s">
        <v>4464</v>
      </c>
      <c r="G83" s="30">
        <v>4.32</v>
      </c>
      <c r="H83" s="31">
        <v>6.7</v>
      </c>
      <c r="I83" s="28" t="s">
        <v>21</v>
      </c>
    </row>
    <row r="84" spans="1:9" ht="12.5">
      <c r="A84" s="27">
        <v>1345890</v>
      </c>
      <c r="B84" s="28" t="s">
        <v>1082</v>
      </c>
      <c r="C84" s="28" t="s">
        <v>1086</v>
      </c>
      <c r="D84" s="29" t="s">
        <v>4465</v>
      </c>
      <c r="E84" s="28" t="str">
        <f ca="1">IFERROR(__xludf.DUMMYFUNCTION("GOOGLETRANSLATE(D84)"),"Efficient correct work procedures course for working people first grade")</f>
        <v>Efficient correct work procedures course for working people first grade</v>
      </c>
      <c r="F84" s="28" t="s">
        <v>4462</v>
      </c>
      <c r="G84" s="30">
        <v>3.87</v>
      </c>
      <c r="H84" s="31">
        <v>1.6</v>
      </c>
      <c r="I84" s="28" t="s">
        <v>21</v>
      </c>
    </row>
    <row r="85" spans="1:9" ht="12.5">
      <c r="A85" s="28">
        <v>1352982</v>
      </c>
      <c r="B85" s="28" t="s">
        <v>31</v>
      </c>
      <c r="C85" s="28" t="s">
        <v>93</v>
      </c>
      <c r="D85" s="29" t="s">
        <v>4466</v>
      </c>
      <c r="E85" s="28" t="str">
        <f ca="1">IFERROR(__xludf.DUMMYFUNCTION("GOOGLETRANSLATE(D85)"),"""Tableau Getting Started from zero"" for those who aim to data scientist")</f>
        <v>"Tableau Getting Started from zero" for those who aim to data scientist</v>
      </c>
      <c r="F85" s="28" t="s">
        <v>4467</v>
      </c>
      <c r="G85" s="30">
        <v>4.2</v>
      </c>
      <c r="H85" s="31">
        <v>11.33</v>
      </c>
      <c r="I85" s="28" t="s">
        <v>21</v>
      </c>
    </row>
    <row r="86" spans="1:9" ht="12.5">
      <c r="A86" s="27">
        <v>1356190</v>
      </c>
      <c r="B86" s="28" t="s">
        <v>31</v>
      </c>
      <c r="C86" s="28" t="s">
        <v>1161</v>
      </c>
      <c r="D86" s="29" t="s">
        <v>4468</v>
      </c>
      <c r="E86" s="28" t="str">
        <f ca="1">IFERROR(__xludf.DUMMYFUNCTION("GOOGLETRANSLATE(D86)"),"[Kikagaku flow] artificial intelligence and machine learning de black box course - beginner's class -")</f>
        <v>[Kikagaku flow] artificial intelligence and machine learning de black box course - beginner's class -</v>
      </c>
      <c r="F86" s="28" t="s">
        <v>4469</v>
      </c>
      <c r="G86" s="30">
        <v>4.3899999999999997</v>
      </c>
      <c r="H86" s="31">
        <v>4.3</v>
      </c>
      <c r="I86" s="28" t="s">
        <v>17</v>
      </c>
    </row>
    <row r="87" spans="1:9" ht="12.5">
      <c r="A87" s="27">
        <v>1358625</v>
      </c>
      <c r="B87" s="28" t="s">
        <v>31</v>
      </c>
      <c r="C87" s="28" t="s">
        <v>32</v>
      </c>
      <c r="D87" s="29" t="s">
        <v>4470</v>
      </c>
      <c r="E87" s="28" t="str">
        <f ca="1">IFERROR(__xludf.DUMMYFUNCTION("GOOGLETRANSLATE(D87)"),"[Learn in TensorFlow · Python3] deep reinforcement learning Introduction")</f>
        <v>[Learn in TensorFlow · Python3] deep reinforcement learning Introduction</v>
      </c>
      <c r="F87" s="28" t="s">
        <v>4377</v>
      </c>
      <c r="G87" s="30">
        <v>3.64</v>
      </c>
      <c r="H87" s="31">
        <v>3.29</v>
      </c>
      <c r="I87" s="28" t="s">
        <v>17</v>
      </c>
    </row>
    <row r="88" spans="1:9" ht="12.5">
      <c r="A88" s="28">
        <v>1358635</v>
      </c>
      <c r="B88" s="28" t="s">
        <v>102</v>
      </c>
      <c r="C88" s="28" t="s">
        <v>106</v>
      </c>
      <c r="D88" s="29" t="s">
        <v>4471</v>
      </c>
      <c r="E88" s="28" t="str">
        <f ca="1">IFERROR(__xludf.DUMMYFUNCTION("GOOGLETRANSLATE(D88)"),"[2019 July update] anyone can learn easily Adobe XD introductory course | can be fully master the basic functions of XD that can be used in combat!")</f>
        <v>[2019 July update] anyone can learn easily Adobe XD introductory course | can be fully master the basic functions of XD that can be used in combat!</v>
      </c>
      <c r="F88" s="28" t="s">
        <v>4472</v>
      </c>
      <c r="G88" s="30">
        <v>4.07</v>
      </c>
      <c r="H88" s="31">
        <v>5.0999999999999996</v>
      </c>
      <c r="I88" s="28" t="s">
        <v>17</v>
      </c>
    </row>
    <row r="89" spans="1:9" ht="12.5">
      <c r="A89" s="28">
        <v>1362548</v>
      </c>
      <c r="B89" s="28" t="s">
        <v>225</v>
      </c>
      <c r="C89" s="28" t="s">
        <v>235</v>
      </c>
      <c r="D89" s="29" t="s">
        <v>4473</v>
      </c>
      <c r="E89" s="28" t="str">
        <f ca="1">IFERROR(__xludf.DUMMYFUNCTION("GOOGLETRANSLATE(D89)"),"The CSS efficiently write! - From ""Sass"" course - the basis for the front-end engineers to practice")</f>
        <v>The CSS efficiently write! - From "Sass" course - the basis for the front-end engineers to practice</v>
      </c>
      <c r="F89" s="28" t="s">
        <v>4474</v>
      </c>
      <c r="G89" s="30">
        <v>3.84</v>
      </c>
      <c r="H89" s="31">
        <v>4.92</v>
      </c>
      <c r="I89" s="28" t="s">
        <v>21</v>
      </c>
    </row>
    <row r="90" spans="1:9" ht="12.5">
      <c r="A90" s="28">
        <v>1380000</v>
      </c>
      <c r="B90" s="28" t="s">
        <v>225</v>
      </c>
      <c r="C90" s="28" t="s">
        <v>226</v>
      </c>
      <c r="D90" s="28" t="s">
        <v>4475</v>
      </c>
      <c r="E90" s="28" t="str">
        <f ca="1">IFERROR(__xludf.DUMMYFUNCTION("GOOGLETRANSLATE(D90)"),"Regular performance lecture")</f>
        <v>Regular performance lecture</v>
      </c>
      <c r="F90" s="28" t="s">
        <v>4476</v>
      </c>
      <c r="G90" s="30">
        <v>3.61</v>
      </c>
      <c r="H90" s="31">
        <v>0.81</v>
      </c>
      <c r="I90" s="28" t="s">
        <v>72</v>
      </c>
    </row>
    <row r="91" spans="1:9" ht="12.5">
      <c r="A91" s="28">
        <v>1382662</v>
      </c>
      <c r="B91" s="28" t="s">
        <v>225</v>
      </c>
      <c r="C91" s="28" t="s">
        <v>235</v>
      </c>
      <c r="D91" s="29" t="s">
        <v>4477</v>
      </c>
      <c r="E91" s="28" t="str">
        <f ca="1">IFERROR(__xludf.DUMMYFUNCTION("GOOGLETRANSLATE(D91)"),"[2021] The latest version for the first time of Angular Introduction to practice single-page application (SPA) development")</f>
        <v>[2021] The latest version for the first time of Angular Introduction to practice single-page application (SPA) development</v>
      </c>
      <c r="F91" s="28" t="s">
        <v>4478</v>
      </c>
      <c r="G91" s="30">
        <v>4.25</v>
      </c>
      <c r="H91" s="31">
        <v>21.36</v>
      </c>
      <c r="I91" s="28" t="s">
        <v>72</v>
      </c>
    </row>
    <row r="92" spans="1:9" ht="12.5">
      <c r="A92" s="28">
        <v>1384612</v>
      </c>
      <c r="B92" s="28" t="s">
        <v>31</v>
      </c>
      <c r="C92" s="28" t="s">
        <v>32</v>
      </c>
      <c r="D92" s="29" t="s">
        <v>4479</v>
      </c>
      <c r="E92" s="28" t="str">
        <f ca="1">IFERROR(__xludf.DUMMYFUNCTION("GOOGLETRANSLATE(D92)"),"[Learn in Python] Introduction to Image Processing with OpenCV")</f>
        <v>[Learn in Python] Introduction to Image Processing with OpenCV</v>
      </c>
      <c r="F92" s="28" t="s">
        <v>4432</v>
      </c>
      <c r="G92" s="30">
        <v>4.1500000000000004</v>
      </c>
      <c r="H92" s="31">
        <v>5.83</v>
      </c>
      <c r="I92" s="28" t="s">
        <v>17</v>
      </c>
    </row>
    <row r="93" spans="1:9" ht="12.5">
      <c r="A93" s="28">
        <v>1393880</v>
      </c>
      <c r="B93" s="28" t="s">
        <v>31</v>
      </c>
      <c r="C93" s="28" t="s">
        <v>32</v>
      </c>
      <c r="D93" s="29" t="s">
        <v>4480</v>
      </c>
      <c r="E93" s="28" t="str">
        <f ca="1">IFERROR(__xludf.DUMMYFUNCTION("GOOGLETRANSLATE(D93)"),"Beginners must-see! Fully capture the neural net deep learning in Python")</f>
        <v>Beginners must-see! Fully capture the neural net deep learning in Python</v>
      </c>
      <c r="F93" s="28" t="s">
        <v>4481</v>
      </c>
      <c r="G93" s="30">
        <v>4.3</v>
      </c>
      <c r="H93" s="31">
        <v>7.44</v>
      </c>
      <c r="I93" s="28" t="s">
        <v>17</v>
      </c>
    </row>
    <row r="94" spans="1:9" ht="12.5">
      <c r="A94" s="27">
        <v>1398686</v>
      </c>
      <c r="B94" s="28" t="s">
        <v>864</v>
      </c>
      <c r="C94" s="28" t="s">
        <v>865</v>
      </c>
      <c r="D94" s="29" t="s">
        <v>4482</v>
      </c>
      <c r="E94" s="28" t="str">
        <f ca="1">IFERROR(__xludf.DUMMYFUNCTION("GOOGLETRANSLATE(D94)"),"[With typing software] is pounding faster work! Touch typing [ultra Introduction to 10 days master course [touch typing]")</f>
        <v>[With typing software] is pounding faster work! Touch typing [ultra Introduction to 10 days master course [touch typing]</v>
      </c>
      <c r="F94" s="28" t="s">
        <v>4366</v>
      </c>
      <c r="G94" s="30">
        <v>4.3099999999999996</v>
      </c>
      <c r="H94" s="31">
        <v>4.3499999999999996</v>
      </c>
      <c r="I94" s="28" t="s">
        <v>17</v>
      </c>
    </row>
    <row r="95" spans="1:9" ht="12.5">
      <c r="A95" s="28">
        <v>1401310</v>
      </c>
      <c r="B95" s="28" t="s">
        <v>597</v>
      </c>
      <c r="C95" s="28" t="s">
        <v>604</v>
      </c>
      <c r="D95" s="29" t="s">
        <v>4483</v>
      </c>
      <c r="E95" s="28" t="str">
        <f ca="1">IFERROR(__xludf.DUMMYFUNCTION("GOOGLETRANSLATE(D95)"),"Application execution environment construction by Docker start from zero")</f>
        <v>Application execution environment construction by Docker start from zero</v>
      </c>
      <c r="F95" s="28" t="s">
        <v>4484</v>
      </c>
      <c r="G95" s="30">
        <v>4.1500000000000004</v>
      </c>
      <c r="H95" s="31">
        <v>5.82</v>
      </c>
      <c r="I95" s="28" t="s">
        <v>17</v>
      </c>
    </row>
    <row r="96" spans="1:9" ht="12.5">
      <c r="A96" s="27">
        <v>1401708</v>
      </c>
      <c r="B96" s="28" t="s">
        <v>225</v>
      </c>
      <c r="C96" s="28" t="s">
        <v>235</v>
      </c>
      <c r="D96" s="29" t="s">
        <v>4485</v>
      </c>
      <c r="E96" s="28" t="str">
        <f ca="1">IFERROR(__xludf.DUMMYFUNCTION("GOOGLETRANSLATE(D96)"),"[For beginners] Learn the know-how of Web application development with ASP.NET MVC!")</f>
        <v>[For beginners] Learn the know-how of Web application development with ASP.NET MVC!</v>
      </c>
      <c r="F96" s="28" t="s">
        <v>4486</v>
      </c>
      <c r="G96" s="30">
        <v>3.74</v>
      </c>
      <c r="H96" s="31">
        <v>6.57</v>
      </c>
      <c r="I96" s="28" t="s">
        <v>17</v>
      </c>
    </row>
    <row r="97" spans="1:9" ht="12.5">
      <c r="A97" s="28">
        <v>1424930</v>
      </c>
      <c r="B97" s="28" t="s">
        <v>864</v>
      </c>
      <c r="C97" s="28" t="s">
        <v>865</v>
      </c>
      <c r="D97" s="29" t="s">
        <v>4487</v>
      </c>
      <c r="E97" s="28" t="str">
        <f ca="1">IFERROR(__xludf.DUMMYFUNCTION("GOOGLETRANSLATE(D97)"),"Excel VBA [first edition] (ultra-introductory) Excel to work automatically! Programming can also be magic arts and non-IT positions in macro")</f>
        <v>Excel VBA [first edition] (ultra-introductory) Excel to work automatically! Programming can also be magic arts and non-IT positions in macro</v>
      </c>
      <c r="F97" s="28" t="s">
        <v>4366</v>
      </c>
      <c r="G97" s="30">
        <v>4.42</v>
      </c>
      <c r="H97" s="31">
        <v>5.43</v>
      </c>
      <c r="I97" s="28" t="s">
        <v>17</v>
      </c>
    </row>
    <row r="98" spans="1:9" ht="12.5">
      <c r="A98" s="28">
        <v>1446440</v>
      </c>
      <c r="B98" s="28" t="s">
        <v>225</v>
      </c>
      <c r="C98" s="28" t="s">
        <v>235</v>
      </c>
      <c r="D98" s="29" t="s">
        <v>4488</v>
      </c>
      <c r="E98" s="28" t="str">
        <f ca="1">IFERROR(__xludf.DUMMYFUNCTION("GOOGLETRANSLATE(D98)"),"Web development Introduction fully capture course - programming for the first time to learn can make to people! Learn to develop skills that can be used in situ from inexperienced!")</f>
        <v>Web development Introduction fully capture course - programming for the first time to learn can make to people! Learn to develop skills that can be used in situ from inexperienced!</v>
      </c>
      <c r="F98" s="28" t="s">
        <v>4428</v>
      </c>
      <c r="G98" s="30">
        <v>4.3099999999999996</v>
      </c>
      <c r="H98" s="31">
        <v>23.51</v>
      </c>
      <c r="I98" s="28" t="s">
        <v>17</v>
      </c>
    </row>
    <row r="99" spans="1:9" ht="12.5">
      <c r="A99" s="28">
        <v>1448808</v>
      </c>
      <c r="B99" s="28" t="s">
        <v>102</v>
      </c>
      <c r="C99" s="28" t="s">
        <v>192</v>
      </c>
      <c r="D99" s="29" t="s">
        <v>4489</v>
      </c>
      <c r="E99" s="28" t="str">
        <f ca="1">IFERROR(__xludf.DUMMYFUNCTION("GOOGLETRANSLATE(D99)"),"VR video editing Introduction: Premiere Pro / AfterEffects 360VR editing teaching certificate of")</f>
        <v>VR video editing Introduction: Premiere Pro / AfterEffects 360VR editing teaching certificate of</v>
      </c>
      <c r="F99" s="28" t="s">
        <v>4380</v>
      </c>
      <c r="G99" s="30">
        <v>4.12</v>
      </c>
      <c r="H99" s="31">
        <v>4.95</v>
      </c>
      <c r="I99" s="28" t="s">
        <v>17</v>
      </c>
    </row>
    <row r="100" spans="1:9" ht="12.5">
      <c r="A100" s="28">
        <v>1448908</v>
      </c>
      <c r="B100" s="28" t="s">
        <v>225</v>
      </c>
      <c r="C100" s="28" t="s">
        <v>229</v>
      </c>
      <c r="D100" s="29" t="s">
        <v>4490</v>
      </c>
      <c r="E100" s="28" t="str">
        <f ca="1">IFERROR(__xludf.DUMMYFUNCTION("GOOGLETRANSLATE(D100)"),"[IoT experience Guide] try to challenge the IoT hands-on using JavaScript and Arduino!")</f>
        <v>[IoT experience Guide] try to challenge the IoT hands-on using JavaScript and Arduino!</v>
      </c>
      <c r="F100" s="28" t="s">
        <v>4491</v>
      </c>
      <c r="G100" s="30">
        <v>3.57</v>
      </c>
      <c r="H100" s="31">
        <v>1.91</v>
      </c>
      <c r="I100" s="28" t="s">
        <v>17</v>
      </c>
    </row>
    <row r="101" spans="1:9" ht="12.5">
      <c r="A101" s="28">
        <v>1469212</v>
      </c>
      <c r="B101" s="28" t="s">
        <v>768</v>
      </c>
      <c r="C101" s="28" t="s">
        <v>795</v>
      </c>
      <c r="D101" s="29" t="s">
        <v>4492</v>
      </c>
      <c r="E101" s="28" t="str">
        <f ca="1">IFERROR(__xludf.DUMMYFUNCTION("GOOGLETRANSLATE(D101)"),"[This alone OK! ] Professional teach ""sell"" flyer making classes")</f>
        <v>[This alone OK! ] Professional teach "sell" flyer making classes</v>
      </c>
      <c r="F101" s="28" t="s">
        <v>4493</v>
      </c>
      <c r="G101" s="30">
        <v>3.9</v>
      </c>
      <c r="H101" s="31">
        <v>5.72</v>
      </c>
      <c r="I101" s="28" t="s">
        <v>17</v>
      </c>
    </row>
    <row r="102" spans="1:9" ht="12.5">
      <c r="A102" s="28">
        <v>1475808</v>
      </c>
      <c r="B102" s="28" t="s">
        <v>31</v>
      </c>
      <c r="C102" s="28" t="s">
        <v>32</v>
      </c>
      <c r="D102" s="29" t="s">
        <v>4494</v>
      </c>
      <c r="E102" s="28" t="str">
        <f ca="1">IFERROR(__xludf.DUMMYFUNCTION("GOOGLETRANSLATE(D102)"),"[Image determination AI application development, Part 1] image determination AI application development Introduction to make in TensorFlow · Python · Flask")</f>
        <v>[Image determination AI application development, Part 1] image determination AI application development Introduction to make in TensorFlow · Python · Flask</v>
      </c>
      <c r="F102" s="28" t="s">
        <v>4377</v>
      </c>
      <c r="G102" s="30">
        <v>4.0599999999999996</v>
      </c>
      <c r="H102" s="31">
        <v>3.52</v>
      </c>
      <c r="I102" s="28" t="s">
        <v>21</v>
      </c>
    </row>
    <row r="103" spans="1:9" ht="12.5">
      <c r="A103" s="28">
        <v>1476436</v>
      </c>
      <c r="B103" s="28" t="s">
        <v>225</v>
      </c>
      <c r="C103" s="28" t="s">
        <v>226</v>
      </c>
      <c r="D103" s="29" t="s">
        <v>4495</v>
      </c>
      <c r="E103" s="28" t="str">
        <f ca="1">IFERROR(__xludf.DUMMYFUNCTION("GOOGLETRANSLATE(D103)"),"C / C ++ language to get to learn in a week")</f>
        <v>C / C ++ language to get to learn in a week</v>
      </c>
      <c r="F103" s="28" t="s">
        <v>4481</v>
      </c>
      <c r="G103" s="30">
        <v>4.33</v>
      </c>
      <c r="H103" s="31">
        <v>12.42</v>
      </c>
      <c r="I103" s="28" t="s">
        <v>21</v>
      </c>
    </row>
    <row r="104" spans="1:9" ht="12.5">
      <c r="A104" s="28">
        <v>1486378</v>
      </c>
      <c r="B104" s="28" t="s">
        <v>864</v>
      </c>
      <c r="C104" s="28" t="s">
        <v>865</v>
      </c>
      <c r="D104" s="29" t="s">
        <v>4496</v>
      </c>
      <c r="E104" s="28" t="str">
        <f ca="1">IFERROR(__xludf.DUMMYFUNCTION("GOOGLETRANSLATE(D104)"),"[From beginner to advanced] Excel textbook master course to learn in one day")</f>
        <v>[From beginner to advanced] Excel textbook master course to learn in one day</v>
      </c>
      <c r="F104" s="28" t="s">
        <v>4439</v>
      </c>
      <c r="G104" s="30">
        <v>4.45</v>
      </c>
      <c r="H104" s="31">
        <v>9.3800000000000008</v>
      </c>
      <c r="I104" s="28" t="s">
        <v>17</v>
      </c>
    </row>
    <row r="105" spans="1:9" ht="12.5">
      <c r="A105" s="27">
        <v>1497262</v>
      </c>
      <c r="B105" s="28" t="s">
        <v>225</v>
      </c>
      <c r="C105" s="28" t="s">
        <v>226</v>
      </c>
      <c r="D105" s="29" t="s">
        <v>4497</v>
      </c>
      <c r="E105" s="28" t="str">
        <f ca="1">IFERROR(__xludf.DUMMYFUNCTION("GOOGLETRANSLATE(D105)"),"Immediate use Rails engineer training courses full stack engineers teach")</f>
        <v>Immediate use Rails engineer training courses full stack engineers teach</v>
      </c>
      <c r="F105" s="28" t="s">
        <v>4484</v>
      </c>
      <c r="G105" s="30">
        <v>4.12</v>
      </c>
      <c r="H105" s="31">
        <v>8.48</v>
      </c>
      <c r="I105" s="28" t="s">
        <v>21</v>
      </c>
    </row>
    <row r="106" spans="1:9" ht="12.5">
      <c r="A106" s="27">
        <v>1506696</v>
      </c>
      <c r="B106" s="28" t="s">
        <v>864</v>
      </c>
      <c r="C106" s="28" t="s">
        <v>865</v>
      </c>
      <c r="D106" s="29" t="s">
        <v>4498</v>
      </c>
      <c r="E106" s="28" t="str">
        <f ca="1">IFERROR(__xludf.DUMMYFUNCTION("GOOGLETRANSLATE(D106)"),"Excel VBA [2nd] (de-introductory) create a macro to output an invoice with a single click! Programming can also be arts and non-IT jobs")</f>
        <v>Excel VBA [2nd] (de-introductory) create a macro to output an invoice with a single click! Programming can also be arts and non-IT jobs</v>
      </c>
      <c r="F106" s="28" t="s">
        <v>4366</v>
      </c>
      <c r="G106" s="30">
        <v>4.58</v>
      </c>
      <c r="H106" s="31">
        <v>6.6</v>
      </c>
      <c r="I106" s="28" t="s">
        <v>17</v>
      </c>
    </row>
    <row r="107" spans="1:9" ht="12.5">
      <c r="A107" s="28">
        <v>1507044</v>
      </c>
      <c r="B107" s="28" t="s">
        <v>225</v>
      </c>
      <c r="C107" s="28" t="s">
        <v>235</v>
      </c>
      <c r="D107" s="29" t="s">
        <v>4499</v>
      </c>
      <c r="E107" s="28" t="str">
        <f ca="1">IFERROR(__xludf.DUMMYFUNCTION("GOOGLETRANSLATE(D107)"),"[Hamushiki] React · Redux application development Introduction to the front-end engineers")</f>
        <v>[Hamushiki] React · Redux application development Introduction to the front-end engineers</v>
      </c>
      <c r="F107" s="28" t="s">
        <v>4500</v>
      </c>
      <c r="G107" s="30">
        <v>4.04</v>
      </c>
      <c r="H107" s="31">
        <v>7.23</v>
      </c>
      <c r="I107" s="28" t="s">
        <v>21</v>
      </c>
    </row>
    <row r="108" spans="1:9" ht="12.5">
      <c r="A108" s="28">
        <v>1518132</v>
      </c>
      <c r="B108" s="28" t="s">
        <v>31</v>
      </c>
      <c r="C108" s="28" t="s">
        <v>1161</v>
      </c>
      <c r="D108" s="29" t="s">
        <v>4501</v>
      </c>
      <c r="E108" s="28" t="str">
        <f ca="1">IFERROR(__xludf.DUMMYFUNCTION("GOOGLETRANSLATE(D108)"),"[Learn Python and Stan] Bayesian statistics mechanism is seen Getting Started")</f>
        <v>[Learn Python and Stan] Bayesian statistics mechanism is seen Getting Started</v>
      </c>
      <c r="F108" s="28" t="s">
        <v>4432</v>
      </c>
      <c r="G108" s="30">
        <v>4.2699999999999996</v>
      </c>
      <c r="H108" s="31">
        <v>11.11</v>
      </c>
      <c r="I108" s="28" t="s">
        <v>21</v>
      </c>
    </row>
    <row r="109" spans="1:9" ht="12.5">
      <c r="A109" s="27">
        <v>1536972</v>
      </c>
      <c r="B109" s="28" t="s">
        <v>31</v>
      </c>
      <c r="C109" s="28" t="s">
        <v>1161</v>
      </c>
      <c r="D109" s="29" t="s">
        <v>4502</v>
      </c>
      <c r="E109" s="28" t="str">
        <f ca="1">IFERROR(__xludf.DUMMYFUNCTION("GOOGLETRANSLATE(D109)"),"[Kikagaku flow] artificial intelligence and machine learning de black box course - Intermediate Hen -")</f>
        <v>[Kikagaku flow] artificial intelligence and machine learning de black box course - Intermediate Hen -</v>
      </c>
      <c r="F109" s="28" t="s">
        <v>4469</v>
      </c>
      <c r="G109" s="30">
        <v>4.4400000000000004</v>
      </c>
      <c r="H109" s="31">
        <v>4.38</v>
      </c>
      <c r="I109" s="28" t="s">
        <v>17</v>
      </c>
    </row>
    <row r="110" spans="1:9" ht="12.5">
      <c r="A110" s="28">
        <v>1553680</v>
      </c>
      <c r="B110" s="28" t="s">
        <v>225</v>
      </c>
      <c r="C110" s="28" t="s">
        <v>288</v>
      </c>
      <c r="D110" s="29" t="s">
        <v>4503</v>
      </c>
      <c r="E110" s="28" t="str">
        <f ca="1">IFERROR(__xludf.DUMMYFUNCTION("GOOGLETRANSLATE(D110)"),"The first time of SQL · data analysis Introduction - SQL beginner direction course for the database of the data business people to take advantage in the field")</f>
        <v>The first time of SQL · data analysis Introduction - SQL beginner direction course for the database of the data business people to take advantage in the field</v>
      </c>
      <c r="F110" s="28" t="s">
        <v>4428</v>
      </c>
      <c r="G110" s="30">
        <v>4.28</v>
      </c>
      <c r="H110" s="31">
        <v>7.26</v>
      </c>
      <c r="I110" s="28" t="s">
        <v>17</v>
      </c>
    </row>
    <row r="111" spans="1:9" ht="12.5">
      <c r="A111" s="27">
        <v>1553822</v>
      </c>
      <c r="B111" s="28" t="s">
        <v>557</v>
      </c>
      <c r="C111" s="28" t="s">
        <v>561</v>
      </c>
      <c r="D111" s="29" t="s">
        <v>4504</v>
      </c>
      <c r="E111" s="28" t="str">
        <f ca="1">IFERROR(__xludf.DUMMYFUNCTION("GOOGLETRANSLATE(D111)"),"[Qualification prep school instructor commentary] gap time! Visual bookkeeping second grade [industrial bookkeeping ed.]")</f>
        <v>[Qualification prep school instructor commentary] gap time! Visual bookkeeping second grade [industrial bookkeeping ed.]</v>
      </c>
      <c r="F111" s="28" t="s">
        <v>4370</v>
      </c>
      <c r="G111" s="30">
        <v>4.47</v>
      </c>
      <c r="H111" s="31">
        <v>10.73</v>
      </c>
      <c r="I111" s="28" t="s">
        <v>72</v>
      </c>
    </row>
    <row r="112" spans="1:9" ht="12.5">
      <c r="A112" s="28">
        <v>1555742</v>
      </c>
      <c r="B112" s="28" t="s">
        <v>31</v>
      </c>
      <c r="C112" s="28" t="s">
        <v>32</v>
      </c>
      <c r="D112" s="29" t="s">
        <v>4505</v>
      </c>
      <c r="E112" s="28" t="str">
        <f ca="1">IFERROR(__xludf.DUMMYFUNCTION("GOOGLETRANSLATE(D112)"),"The first time of the Python little by little carefully learn the essence of programming language Python3")</f>
        <v>The first time of the Python little by little carefully learn the essence of programming language Python3</v>
      </c>
      <c r="F112" s="28" t="s">
        <v>4410</v>
      </c>
      <c r="G112" s="30">
        <v>4.24</v>
      </c>
      <c r="H112" s="31">
        <v>4.34</v>
      </c>
      <c r="I112" s="28" t="s">
        <v>17</v>
      </c>
    </row>
    <row r="113" spans="1:9" ht="12.5">
      <c r="A113" s="28">
        <v>1556980</v>
      </c>
      <c r="B113" s="28" t="s">
        <v>225</v>
      </c>
      <c r="C113" s="28" t="s">
        <v>235</v>
      </c>
      <c r="D113" s="29" t="s">
        <v>4506</v>
      </c>
      <c r="E113" s="28" t="str">
        <f ca="1">IFERROR(__xludf.DUMMYFUNCTION("GOOGLETRANSLATE(D113)"),"[In the general private for modification, content modification] Let's master from HTML · CSS · JavaScript Introduction - the first time of HTML")</f>
        <v>[In the general private for modification, content modification] Let's master from HTML · CSS · JavaScript Introduction - the first time of HTML</v>
      </c>
      <c r="F113" s="28" t="s">
        <v>4507</v>
      </c>
      <c r="G113" s="30">
        <v>4.37</v>
      </c>
      <c r="H113" s="31">
        <v>15.06</v>
      </c>
      <c r="I113" s="28" t="s">
        <v>17</v>
      </c>
    </row>
    <row r="114" spans="1:9" ht="12.5">
      <c r="A114" s="28">
        <v>1567110</v>
      </c>
      <c r="B114" s="28" t="s">
        <v>225</v>
      </c>
      <c r="C114" s="28" t="s">
        <v>235</v>
      </c>
      <c r="D114" s="29" t="s">
        <v>4508</v>
      </c>
      <c r="E114" s="28" t="str">
        <f ca="1">IFERROR(__xludf.DUMMYFUNCTION("GOOGLETRANSLATE(D114)"),"Let's make a full game from scratch (Scratch) in the introductory 7-day course parent and child of programming classroom ""Ritz"" to heat up children!")</f>
        <v>Let's make a full game from scratch (Scratch) in the introductory 7-day course parent and child of programming classroom "Ritz" to heat up children!</v>
      </c>
      <c r="F114" s="28" t="s">
        <v>4366</v>
      </c>
      <c r="G114" s="30">
        <v>4.2</v>
      </c>
      <c r="H114" s="31">
        <v>7.11</v>
      </c>
      <c r="I114" s="28" t="s">
        <v>17</v>
      </c>
    </row>
    <row r="115" spans="1:9" ht="12.5">
      <c r="A115" s="27">
        <v>1577336</v>
      </c>
      <c r="B115" s="28" t="s">
        <v>913</v>
      </c>
      <c r="C115" s="28" t="s">
        <v>914</v>
      </c>
      <c r="D115" s="29" t="s">
        <v>4509</v>
      </c>
      <c r="E115" s="28" t="str">
        <f ca="1">IFERROR(__xludf.DUMMYFUNCTION("GOOGLETRANSLATE(D115)"),"Immediately speak Chinese Complete Edition (pronounced ed + grammar ed + Kanji ed)")</f>
        <v>Immediately speak Chinese Complete Edition (pronounced ed + grammar ed + Kanji ed)</v>
      </c>
      <c r="F115" s="28" t="s">
        <v>4454</v>
      </c>
      <c r="G115" s="30">
        <v>4.32</v>
      </c>
      <c r="H115" s="31">
        <v>1.74</v>
      </c>
      <c r="I115" s="28" t="s">
        <v>17</v>
      </c>
    </row>
    <row r="116" spans="1:9" ht="12.5">
      <c r="A116" s="27">
        <v>1581154</v>
      </c>
      <c r="B116" s="28" t="s">
        <v>225</v>
      </c>
      <c r="C116" s="28" t="s">
        <v>235</v>
      </c>
      <c r="D116" s="29" t="s">
        <v>4510</v>
      </c>
      <c r="E116" s="28" t="str">
        <f ca="1">IFERROR(__xludf.DUMMYFUNCTION("GOOGLETRANSLATE(D116)"),"Modern front-end development using React + Redux")</f>
        <v>Modern front-end development using React + Redux</v>
      </c>
      <c r="F116" s="28" t="s">
        <v>4511</v>
      </c>
      <c r="G116" s="30">
        <v>4.4000000000000004</v>
      </c>
      <c r="H116" s="31">
        <v>6.17</v>
      </c>
      <c r="I116" s="28" t="s">
        <v>17</v>
      </c>
    </row>
    <row r="117" spans="1:9" ht="12.5">
      <c r="A117" s="28">
        <v>1586352</v>
      </c>
      <c r="B117" s="28" t="s">
        <v>768</v>
      </c>
      <c r="C117" s="28" t="s">
        <v>776</v>
      </c>
      <c r="D117" s="29" t="s">
        <v>4512</v>
      </c>
      <c r="E117" s="28" t="str">
        <f ca="1">IFERROR(__xludf.DUMMYFUNCTION("GOOGLETRANSLATE(D117)"),"[Update: 2020/06/08] basic course of the order to the upper display the Web site at [SEO measures introductory course] Google Search")</f>
        <v>[Update: 2020/06/08] basic course of the order to the upper display the Web site at [SEO measures introductory course] Google Search</v>
      </c>
      <c r="F117" s="28" t="s">
        <v>4451</v>
      </c>
      <c r="G117" s="30">
        <v>4.28</v>
      </c>
      <c r="H117" s="31">
        <v>6.07</v>
      </c>
      <c r="I117" s="28" t="s">
        <v>17</v>
      </c>
    </row>
    <row r="118" spans="1:9" ht="12.5">
      <c r="A118" s="28">
        <v>1587988</v>
      </c>
      <c r="B118" s="28" t="s">
        <v>31</v>
      </c>
      <c r="C118" s="28" t="s">
        <v>32</v>
      </c>
      <c r="D118" s="29" t="s">
        <v>4513</v>
      </c>
      <c r="E118" s="28" t="str">
        <f ca="1">IFERROR(__xludf.DUMMYFUNCTION("GOOGLETRANSLATE(D118)"),"[TensorFlow · Python 3] image generation AI own Introduction to GAN")</f>
        <v>[TensorFlow · Python 3] image generation AI own Introduction to GAN</v>
      </c>
      <c r="F118" s="28" t="s">
        <v>4377</v>
      </c>
      <c r="G118" s="30">
        <v>4.26</v>
      </c>
      <c r="H118" s="31">
        <v>3.57</v>
      </c>
      <c r="I118" s="28" t="s">
        <v>21</v>
      </c>
    </row>
    <row r="119" spans="1:9" ht="12.5">
      <c r="A119" s="28">
        <v>1597448</v>
      </c>
      <c r="B119" s="28" t="s">
        <v>913</v>
      </c>
      <c r="C119" s="28" t="s">
        <v>914</v>
      </c>
      <c r="D119" s="29" t="s">
        <v>4514</v>
      </c>
      <c r="E119" s="28" t="str">
        <f ca="1">IFERROR(__xludf.DUMMYFUNCTION("GOOGLETRANSLATE(D119)"),"English pronunciation level up: Stop the katakana English, pronunciation, such as a native!")</f>
        <v>English pronunciation level up: Stop the katakana English, pronunciation, such as a native!</v>
      </c>
      <c r="F119" s="28" t="s">
        <v>4515</v>
      </c>
      <c r="G119" s="30">
        <v>4.32</v>
      </c>
      <c r="H119" s="31">
        <v>1.41</v>
      </c>
      <c r="I119" s="28" t="s">
        <v>21</v>
      </c>
    </row>
    <row r="120" spans="1:9" ht="12.5">
      <c r="A120" s="28">
        <v>1598566</v>
      </c>
      <c r="B120" s="28" t="s">
        <v>225</v>
      </c>
      <c r="C120" s="28" t="s">
        <v>235</v>
      </c>
      <c r="D120" s="29" t="s">
        <v>4516</v>
      </c>
      <c r="E120" s="28" t="str">
        <f ca="1">IFERROR(__xludf.DUMMYFUNCTION("GOOGLETRANSLATE(D120)"),"From [Java servlet (Servlet) decision version] zero to the environment construction - design model, learn effortlessly video")</f>
        <v>From [Java servlet (Servlet) decision version] zero to the environment construction - design model, learn effortlessly video</v>
      </c>
      <c r="F120" s="28" t="s">
        <v>4517</v>
      </c>
      <c r="G120" s="30">
        <v>4.16</v>
      </c>
      <c r="H120" s="31">
        <v>5.57</v>
      </c>
      <c r="I120" s="28" t="s">
        <v>17</v>
      </c>
    </row>
    <row r="121" spans="1:9" ht="12.5">
      <c r="A121" s="28">
        <v>1614778</v>
      </c>
      <c r="B121" s="28" t="s">
        <v>225</v>
      </c>
      <c r="C121" s="28" t="s">
        <v>226</v>
      </c>
      <c r="D121" s="29" t="s">
        <v>4518</v>
      </c>
      <c r="E121" s="28" t="str">
        <f ca="1">IFERROR(__xludf.DUMMYFUNCTION("GOOGLETRANSLATE(D121)"),"PHP + MySQL (MariaDB) Web server side Introduction to Programming")</f>
        <v>PHP + MySQL (MariaDB) Web server side Introduction to Programming</v>
      </c>
      <c r="F121" s="28" t="s">
        <v>4458</v>
      </c>
      <c r="G121" s="30">
        <v>4.54</v>
      </c>
      <c r="H121" s="31">
        <v>11.84</v>
      </c>
      <c r="I121" s="28" t="s">
        <v>17</v>
      </c>
    </row>
    <row r="122" spans="1:9" ht="12.5">
      <c r="A122" s="27">
        <v>1622006</v>
      </c>
      <c r="B122" s="28" t="s">
        <v>225</v>
      </c>
      <c r="C122" s="28" t="s">
        <v>226</v>
      </c>
      <c r="D122" s="29" t="s">
        <v>4519</v>
      </c>
      <c r="E122" s="28" t="str">
        <f ca="1">IFERROR(__xludf.DUMMYFUNCTION("GOOGLETRANSLATE(D122)"),"[30,000 people attended in the world] ES6 complete guide for JavaScript engineers")</f>
        <v>[30,000 people attended in the world] ES6 complete guide for JavaScript engineers</v>
      </c>
      <c r="F122" s="28" t="s">
        <v>4520</v>
      </c>
      <c r="G122" s="30">
        <v>4.54</v>
      </c>
      <c r="H122" s="31">
        <v>7.84</v>
      </c>
      <c r="I122" s="28" t="s">
        <v>17</v>
      </c>
    </row>
    <row r="123" spans="1:9" ht="12.5">
      <c r="A123" s="28">
        <v>1634784</v>
      </c>
      <c r="B123" s="28" t="s">
        <v>768</v>
      </c>
      <c r="C123" s="28" t="s">
        <v>820</v>
      </c>
      <c r="D123" s="29" t="s">
        <v>4521</v>
      </c>
      <c r="E123" s="28" t="str">
        <f ca="1">IFERROR(__xludf.DUMMYFUNCTION("GOOGLETRANSLATE(D123)"),"Won the industry's state-of-the-art video production techniques! Adobe Premiere Pro full version")</f>
        <v>Won the industry's state-of-the-art video production techniques! Adobe Premiere Pro full version</v>
      </c>
      <c r="F123" s="28" t="s">
        <v>4380</v>
      </c>
      <c r="G123" s="30">
        <v>4.49</v>
      </c>
      <c r="H123" s="31">
        <v>7.53</v>
      </c>
      <c r="I123" s="28" t="s">
        <v>21</v>
      </c>
    </row>
    <row r="124" spans="1:9" ht="12.5">
      <c r="A124" s="28">
        <v>1635930</v>
      </c>
      <c r="B124" s="28" t="s">
        <v>864</v>
      </c>
      <c r="C124" s="28" t="s">
        <v>905</v>
      </c>
      <c r="D124" s="29" t="s">
        <v>4522</v>
      </c>
      <c r="E124" s="28" t="str">
        <f ca="1">IFERROR(__xludf.DUMMYFUNCTION("GOOGLETRANSLATE(D124)"),"Media literacy master course")</f>
        <v>Media literacy master course</v>
      </c>
      <c r="F124" s="28" t="s">
        <v>4523</v>
      </c>
      <c r="G124" s="30">
        <v>3.71</v>
      </c>
      <c r="H124" s="31">
        <v>4.9800000000000004</v>
      </c>
      <c r="I124" s="28" t="s">
        <v>17</v>
      </c>
    </row>
    <row r="125" spans="1:9" ht="12.5">
      <c r="A125" s="28">
        <v>1639104</v>
      </c>
      <c r="B125" s="28" t="s">
        <v>31</v>
      </c>
      <c r="C125" s="28" t="s">
        <v>93</v>
      </c>
      <c r="D125" s="29" t="s">
        <v>4524</v>
      </c>
      <c r="E125" s="28" t="str">
        <f ca="1">IFERROR(__xludf.DUMMYFUNCTION("GOOGLETRANSLATE(D125)"),"Medical data analysis Introduction in the R language to teach doctors")</f>
        <v>Medical data analysis Introduction in the R language to teach doctors</v>
      </c>
      <c r="F125" s="28" t="s">
        <v>4525</v>
      </c>
      <c r="G125" s="30">
        <v>4.5</v>
      </c>
      <c r="H125" s="31">
        <v>8.64</v>
      </c>
      <c r="I125" s="28" t="s">
        <v>17</v>
      </c>
    </row>
    <row r="126" spans="1:9" ht="12.5">
      <c r="A126" s="28">
        <v>1647852</v>
      </c>
      <c r="B126" s="28" t="s">
        <v>597</v>
      </c>
      <c r="C126" s="28" t="s">
        <v>598</v>
      </c>
      <c r="D126" s="29" t="s">
        <v>4526</v>
      </c>
      <c r="E126" s="28" t="str">
        <f ca="1">IFERROR(__xludf.DUMMYFUNCTION("GOOGLETRANSLATE(D126)"),"Not bothering with the other information security measures! Trying to learn the way of thinking, knowledge, common sense and countermeasures method of information security to be directly connected to the business")</f>
        <v>Not bothering with the other information security measures! Trying to learn the way of thinking, knowledge, common sense and countermeasures method of information security to be directly connected to the business</v>
      </c>
      <c r="F126" s="28" t="s">
        <v>4527</v>
      </c>
      <c r="G126" s="30">
        <v>3.77</v>
      </c>
      <c r="H126" s="31">
        <v>7.77</v>
      </c>
      <c r="I126" s="28" t="s">
        <v>17</v>
      </c>
    </row>
    <row r="127" spans="1:9" ht="12.5">
      <c r="A127" s="28">
        <v>1663540</v>
      </c>
      <c r="B127" s="28" t="s">
        <v>597</v>
      </c>
      <c r="C127" s="28" t="s">
        <v>598</v>
      </c>
      <c r="D127" s="29" t="s">
        <v>4528</v>
      </c>
      <c r="E127" s="28" t="str">
        <f ca="1">IFERROR(__xludf.DUMMYFUNCTION("GOOGLETRANSLATE(D127)"),"Essential to the future of the times! Learn from the basics ""Information Security Primer.""")</f>
        <v>Essential to the future of the times! Learn from the basics "Information Security Primer."</v>
      </c>
      <c r="F127" s="28" t="s">
        <v>4529</v>
      </c>
      <c r="G127" s="30">
        <v>4.17</v>
      </c>
      <c r="H127" s="31">
        <v>6.93</v>
      </c>
      <c r="I127" s="28" t="s">
        <v>17</v>
      </c>
    </row>
    <row r="128" spans="1:9" ht="12.5">
      <c r="A128" s="28">
        <v>1678320</v>
      </c>
      <c r="B128" s="28" t="s">
        <v>768</v>
      </c>
      <c r="C128" s="28" t="s">
        <v>786</v>
      </c>
      <c r="D128" s="29" t="s">
        <v>4530</v>
      </c>
      <c r="E128" s="28" t="str">
        <f ca="1">IFERROR(__xludf.DUMMYFUNCTION("GOOGLETRANSLATE(D128)"),"Google Analytics use method for performance improvement")</f>
        <v>Google Analytics use method for performance improvement</v>
      </c>
      <c r="F128" s="28" t="s">
        <v>4467</v>
      </c>
      <c r="G128" s="30">
        <v>4.49</v>
      </c>
      <c r="H128" s="31">
        <v>11.15</v>
      </c>
      <c r="I128" s="28" t="s">
        <v>17</v>
      </c>
    </row>
    <row r="129" spans="1:9" ht="12.5">
      <c r="A129" s="28">
        <v>1681432</v>
      </c>
      <c r="B129" s="28" t="s">
        <v>864</v>
      </c>
      <c r="C129" s="28" t="s">
        <v>875</v>
      </c>
      <c r="D129" s="29" t="s">
        <v>4531</v>
      </c>
      <c r="E129" s="28" t="str">
        <f ca="1">IFERROR(__xludf.DUMMYFUNCTION("GOOGLETRANSLATE(D129)"),"PowerPoint documents created surgery that is not written in the presentation this ""make doing what at that graph ... In fact Pawapo?"" 8 step speed learning course")</f>
        <v>PowerPoint documents created surgery that is not written in the presentation this "make doing what at that graph ... In fact Pawapo?" 8 step speed learning course</v>
      </c>
      <c r="F129" s="28" t="s">
        <v>4366</v>
      </c>
      <c r="G129" s="30">
        <v>4.3499999999999996</v>
      </c>
      <c r="H129" s="31">
        <v>5.88</v>
      </c>
      <c r="I129" s="28" t="s">
        <v>21</v>
      </c>
    </row>
    <row r="130" spans="1:9" ht="12.5">
      <c r="A130" s="27">
        <v>1683852</v>
      </c>
      <c r="B130" s="28" t="s">
        <v>864</v>
      </c>
      <c r="C130" s="28" t="s">
        <v>881</v>
      </c>
      <c r="D130" s="29" t="s">
        <v>4532</v>
      </c>
      <c r="E130" s="28" t="str">
        <f ca="1">IFERROR(__xludf.DUMMYFUNCTION("GOOGLETRANSLATE(D130)"),"Time Management Master Course: Increasing the productivity, both become rich life work!")</f>
        <v>Time Management Master Course: Increasing the productivity, both become rich life work!</v>
      </c>
      <c r="F130" s="28" t="s">
        <v>4533</v>
      </c>
      <c r="G130" s="30">
        <v>4.1399999999999997</v>
      </c>
      <c r="H130" s="31">
        <v>5.52</v>
      </c>
      <c r="I130" s="28" t="s">
        <v>17</v>
      </c>
    </row>
    <row r="131" spans="1:9" ht="12.5">
      <c r="A131" s="28">
        <v>1683890</v>
      </c>
      <c r="B131" s="28" t="s">
        <v>672</v>
      </c>
      <c r="C131" s="28" t="s">
        <v>677</v>
      </c>
      <c r="D131" s="29" t="s">
        <v>4534</v>
      </c>
      <c r="E131" s="28" t="str">
        <f ca="1">IFERROR(__xludf.DUMMYFUNCTION("GOOGLETRANSLATE(D131)"),"All of the leader to learn interactive skills needed to lead the team state-of-the-art program ""DELIC online""")</f>
        <v>All of the leader to learn interactive skills needed to lead the team state-of-the-art program "DELIC online"</v>
      </c>
      <c r="F131" s="28" t="s">
        <v>4535</v>
      </c>
      <c r="G131" s="30">
        <v>4.2</v>
      </c>
      <c r="H131" s="31">
        <v>2.8</v>
      </c>
      <c r="I131" s="28" t="s">
        <v>21</v>
      </c>
    </row>
    <row r="132" spans="1:9" ht="12.5">
      <c r="A132" s="27">
        <v>1683970</v>
      </c>
      <c r="B132" s="28" t="s">
        <v>913</v>
      </c>
      <c r="C132" s="28" t="s">
        <v>970</v>
      </c>
      <c r="D132" s="29" t="s">
        <v>4536</v>
      </c>
      <c r="E132" s="28" t="str">
        <f ca="1">IFERROR(__xludf.DUMMYFUNCTION("GOOGLETRANSLATE(D132)"),"[Beginners] photos start from the date that you purchased the camera's shooting: Photographer Tatsuo Qin photos course")</f>
        <v>[Beginners] photos start from the date that you purchased the camera's shooting: Photographer Tatsuo Qin photos course</v>
      </c>
      <c r="F132" s="28" t="s">
        <v>4537</v>
      </c>
      <c r="G132" s="30">
        <v>4.03</v>
      </c>
      <c r="H132" s="31">
        <v>3.83</v>
      </c>
      <c r="I132" s="28" t="s">
        <v>17</v>
      </c>
    </row>
    <row r="133" spans="1:9" ht="12.5">
      <c r="A133" s="28">
        <v>1685648</v>
      </c>
      <c r="B133" s="28" t="s">
        <v>864</v>
      </c>
      <c r="C133" s="28" t="s">
        <v>875</v>
      </c>
      <c r="D133" s="29" t="s">
        <v>4538</v>
      </c>
      <c r="E133" s="28" t="str">
        <f ca="1">IFERROR(__xludf.DUMMYFUNCTION("GOOGLETRANSLATE(D133)"),"One shot OK in 3 minutes! Material creation surgery in-house presentation")</f>
        <v>One shot OK in 3 minutes! Material creation surgery in-house presentation</v>
      </c>
      <c r="F133" s="28" t="s">
        <v>4539</v>
      </c>
      <c r="G133" s="30">
        <v>4.2699999999999996</v>
      </c>
      <c r="H133" s="31">
        <v>3.09</v>
      </c>
      <c r="I133" s="28" t="s">
        <v>21</v>
      </c>
    </row>
    <row r="134" spans="1:9" ht="12.5">
      <c r="A134" s="27">
        <v>1692628</v>
      </c>
      <c r="B134" s="28" t="s">
        <v>557</v>
      </c>
      <c r="C134" s="28" t="s">
        <v>1565</v>
      </c>
      <c r="D134" s="29" t="s">
        <v>4540</v>
      </c>
      <c r="E134" s="28" t="str">
        <f ca="1">IFERROR(__xludf.DUMMYFUNCTION("GOOGLETRANSLATE(D134)"),"[Excel and accounting knowledge required! ] Suddenly business simulation! Do not attended Those who accounting / finance professional")</f>
        <v>[Excel and accounting knowledge required! ] Suddenly business simulation! Do not attended Those who accounting / finance professional</v>
      </c>
      <c r="F134" s="28" t="s">
        <v>4541</v>
      </c>
      <c r="G134" s="30">
        <v>4.2</v>
      </c>
      <c r="H134" s="31">
        <v>1.76</v>
      </c>
      <c r="I134" s="28" t="s">
        <v>17</v>
      </c>
    </row>
    <row r="135" spans="1:9" ht="12.5">
      <c r="A135" s="28">
        <v>1693560</v>
      </c>
      <c r="B135" s="28" t="s">
        <v>597</v>
      </c>
      <c r="C135" s="28" t="s">
        <v>1636</v>
      </c>
      <c r="D135" s="29" t="s">
        <v>4542</v>
      </c>
      <c r="E135" s="28" t="str">
        <f ca="1">IFERROR(__xludf.DUMMYFUNCTION("GOOGLETRANSLATE(D135)"),"The first step to the analog circuit design")</f>
        <v>The first step to the analog circuit design</v>
      </c>
      <c r="F135" s="28" t="s">
        <v>4543</v>
      </c>
      <c r="G135" s="30">
        <v>4.3</v>
      </c>
      <c r="H135" s="31">
        <v>3.09</v>
      </c>
      <c r="I135" s="28" t="s">
        <v>21</v>
      </c>
    </row>
    <row r="136" spans="1:9" ht="12.5">
      <c r="A136" s="28">
        <v>1703474</v>
      </c>
      <c r="B136" s="28" t="s">
        <v>225</v>
      </c>
      <c r="C136" s="28" t="s">
        <v>235</v>
      </c>
      <c r="D136" s="29" t="s">
        <v>4544</v>
      </c>
      <c r="E136" s="28" t="str">
        <f ca="1">IFERROR(__xludf.DUMMYFUNCTION("GOOGLETRANSLATE(D136)"),"Vue JS introductory definitive edition! Web development does not use jQuery - learn by systematically moving from introduction to application development")</f>
        <v>Vue JS introductory definitive edition! Web development does not use jQuery - learn by systematically moving from introduction to application development</v>
      </c>
      <c r="F136" s="28" t="s">
        <v>4428</v>
      </c>
      <c r="G136" s="30">
        <v>4.3600000000000003</v>
      </c>
      <c r="H136" s="31">
        <v>8.24</v>
      </c>
      <c r="I136" s="28" t="s">
        <v>17</v>
      </c>
    </row>
    <row r="137" spans="1:9" ht="12.5">
      <c r="A137" s="27">
        <v>1723804</v>
      </c>
      <c r="B137" s="28" t="s">
        <v>913</v>
      </c>
      <c r="C137" s="28" t="s">
        <v>970</v>
      </c>
      <c r="D137" s="29" t="s">
        <v>4545</v>
      </c>
      <c r="E137" s="28" t="str">
        <f ca="1">IFERROR(__xludf.DUMMYFUNCTION("GOOGLETRANSLATE(D137)"),"Delicious take food photos! Basic techniques to shoot in natural light")</f>
        <v>Delicious take food photos! Basic techniques to shoot in natural light</v>
      </c>
      <c r="F137" s="28" t="s">
        <v>4546</v>
      </c>
      <c r="G137" s="30">
        <v>4.41</v>
      </c>
      <c r="H137" s="31">
        <v>4.51</v>
      </c>
      <c r="I137" s="28" t="s">
        <v>17</v>
      </c>
    </row>
    <row r="138" spans="1:9" ht="12.5">
      <c r="A138" s="27">
        <v>1723932</v>
      </c>
      <c r="B138" s="28" t="s">
        <v>31</v>
      </c>
      <c r="C138" s="28" t="s">
        <v>44</v>
      </c>
      <c r="D138" s="29" t="s">
        <v>4547</v>
      </c>
      <c r="E138" s="28" t="str">
        <f ca="1">IFERROR(__xludf.DUMMYFUNCTION("GOOGLETRANSLATE(D138)"),"Deep learning · AI application development Introduction to Python 3 · PyTorch [Challenge in four days]")</f>
        <v>Deep learning · AI application development Introduction to Python 3 · PyTorch [Challenge in four days]</v>
      </c>
      <c r="F138" s="28" t="s">
        <v>4377</v>
      </c>
      <c r="G138" s="30">
        <v>4.5</v>
      </c>
      <c r="H138" s="31">
        <v>2.42</v>
      </c>
      <c r="I138" s="28" t="s">
        <v>21</v>
      </c>
    </row>
    <row r="139" spans="1:9" ht="12.5">
      <c r="A139" s="27">
        <v>1732004</v>
      </c>
      <c r="B139" s="28" t="s">
        <v>102</v>
      </c>
      <c r="C139" s="28" t="s">
        <v>116</v>
      </c>
      <c r="D139" s="29" t="s">
        <v>4548</v>
      </c>
      <c r="E139" s="28" t="str">
        <f ca="1">IFERROR(__xludf.DUMMYFUNCTION("GOOGLETRANSLATE(D139)"),"Lecture [hands-on] to move in the Unreal engine by modeling a character in the [ultra-beginners] Blender")</f>
        <v>Lecture [hands-on] to move in the Unreal engine by modeling a character in the [ultra-beginners] Blender</v>
      </c>
      <c r="F139" s="28" t="s">
        <v>4549</v>
      </c>
      <c r="G139" s="30">
        <v>3.86</v>
      </c>
      <c r="H139" s="31">
        <v>6.29</v>
      </c>
      <c r="I139" s="28" t="s">
        <v>17</v>
      </c>
    </row>
    <row r="140" spans="1:9" ht="12.5">
      <c r="A140" s="27">
        <v>1734714</v>
      </c>
      <c r="B140" s="28" t="s">
        <v>225</v>
      </c>
      <c r="C140" s="28" t="s">
        <v>235</v>
      </c>
      <c r="D140" s="29" t="s">
        <v>4550</v>
      </c>
      <c r="E140" s="28" t="str">
        <f ca="1">IFERROR(__xludf.DUMMYFUNCTION("GOOGLETRANSLATE(D140)"),"[Hamushiki] GraphQL with React Introduction to the front-end engineers")</f>
        <v>[Hamushiki] GraphQL with React Introduction to the front-end engineers</v>
      </c>
      <c r="F140" s="28" t="s">
        <v>4500</v>
      </c>
      <c r="G140" s="30">
        <v>4.05</v>
      </c>
      <c r="H140" s="31">
        <v>8.1199999999999992</v>
      </c>
      <c r="I140" s="28" t="s">
        <v>21</v>
      </c>
    </row>
    <row r="141" spans="1:9" ht="12.5">
      <c r="A141" s="27">
        <v>1739202</v>
      </c>
      <c r="B141" s="28" t="s">
        <v>225</v>
      </c>
      <c r="C141" s="28" t="s">
        <v>226</v>
      </c>
      <c r="D141" s="29" t="s">
        <v>4551</v>
      </c>
      <c r="E141" s="28" t="str">
        <f ca="1">IFERROR(__xludf.DUMMYFUNCTION("GOOGLETRANSLATE(D141)"),"[Kikagaku flow algorithm theory to learn in Python for programming force improvement (Part)")</f>
        <v>[Kikagaku flow algorithm theory to learn in Python for programming force improvement (Part)</v>
      </c>
      <c r="F141" s="28" t="s">
        <v>4469</v>
      </c>
      <c r="G141" s="30">
        <v>4.4000000000000004</v>
      </c>
      <c r="H141" s="31">
        <v>3.53</v>
      </c>
      <c r="I141" s="28" t="s">
        <v>17</v>
      </c>
    </row>
    <row r="142" spans="1:9" ht="12.5">
      <c r="A142" s="28">
        <v>1746302</v>
      </c>
      <c r="B142" s="28" t="s">
        <v>864</v>
      </c>
      <c r="C142" s="28" t="s">
        <v>865</v>
      </c>
      <c r="D142" s="29" t="s">
        <v>4552</v>
      </c>
      <c r="E142" s="28" t="str">
        <f ca="1">IFERROR(__xludf.DUMMYFUNCTION("GOOGLETRANSLATE(D142)"),"[Mastering financial professional] model × financial strategy simulation financial three tables to learn in Excel")</f>
        <v>[Mastering financial professional] model × financial strategy simulation financial three tables to learn in Excel</v>
      </c>
      <c r="F142" s="28" t="s">
        <v>4439</v>
      </c>
      <c r="G142" s="30">
        <v>4.45</v>
      </c>
      <c r="H142" s="31">
        <v>5.35</v>
      </c>
      <c r="I142" s="28" t="s">
        <v>72</v>
      </c>
    </row>
    <row r="143" spans="1:9" ht="12.5">
      <c r="A143" s="28">
        <v>1751564</v>
      </c>
      <c r="B143" s="28" t="s">
        <v>913</v>
      </c>
      <c r="C143" s="28" t="s">
        <v>914</v>
      </c>
      <c r="D143" s="29" t="s">
        <v>4553</v>
      </c>
      <c r="E143" s="28" t="str">
        <f ca="1">IFERROR(__xludf.DUMMYFUNCTION("GOOGLETRANSLATE(D143)"),"Now ready-to-use business English [how to write e-mail]")</f>
        <v>Now ready-to-use business English [how to write e-mail]</v>
      </c>
      <c r="F143" s="28" t="s">
        <v>4554</v>
      </c>
      <c r="G143" s="30">
        <v>4.26</v>
      </c>
      <c r="H143" s="31">
        <v>2.83</v>
      </c>
      <c r="I143" s="28" t="s">
        <v>21</v>
      </c>
    </row>
    <row r="144" spans="1:9" ht="12.5">
      <c r="A144" s="27">
        <v>1753920</v>
      </c>
      <c r="B144" s="28" t="s">
        <v>1066</v>
      </c>
      <c r="C144" s="28" t="s">
        <v>1067</v>
      </c>
      <c r="D144" s="29" t="s">
        <v>4555</v>
      </c>
      <c r="E144" s="28" t="str">
        <f ca="1">IFERROR(__xludf.DUMMYFUNCTION("GOOGLETRANSLATE(D144)"),"Move the emotions! Material creation surgery of outside presentation")</f>
        <v>Move the emotions! Material creation surgery of outside presentation</v>
      </c>
      <c r="F144" s="28" t="s">
        <v>4539</v>
      </c>
      <c r="G144" s="30">
        <v>4.37</v>
      </c>
      <c r="H144" s="31">
        <v>2.82</v>
      </c>
      <c r="I144" s="28" t="s">
        <v>21</v>
      </c>
    </row>
    <row r="145" spans="1:9" ht="12.5">
      <c r="A145" s="27">
        <v>1767536</v>
      </c>
      <c r="B145" s="28" t="s">
        <v>672</v>
      </c>
      <c r="C145" s="28" t="s">
        <v>695</v>
      </c>
      <c r="D145" s="29" t="s">
        <v>4556</v>
      </c>
      <c r="E145" s="28" t="str">
        <f ca="1">IFERROR(__xludf.DUMMYFUNCTION("GOOGLETRANSLATE(D145)"),"For beginners: the block chain basic knowledge, the mechanism of encryption currency, the smart contract, applicable to business")</f>
        <v>For beginners: the block chain basic knowledge, the mechanism of encryption currency, the smart contract, applicable to business</v>
      </c>
      <c r="F145" s="28" t="s">
        <v>4557</v>
      </c>
      <c r="G145" s="30">
        <v>3.98</v>
      </c>
      <c r="H145" s="31">
        <v>3.77</v>
      </c>
      <c r="I145" s="28" t="s">
        <v>17</v>
      </c>
    </row>
    <row r="146" spans="1:9" ht="12.5">
      <c r="A146" s="28">
        <v>1788392</v>
      </c>
      <c r="B146" s="28" t="s">
        <v>672</v>
      </c>
      <c r="C146" s="28" t="s">
        <v>677</v>
      </c>
      <c r="D146" s="29" t="s">
        <v>4558</v>
      </c>
      <c r="E146" s="28" t="str">
        <f ca="1">IFERROR(__xludf.DUMMYFUNCTION("GOOGLETRANSLATE(D146)"),"Active Women's Ana art handed down directly! Communication training")</f>
        <v>Active Women's Ana art handed down directly! Communication training</v>
      </c>
      <c r="F146" s="28" t="s">
        <v>4364</v>
      </c>
      <c r="G146" s="30">
        <v>4.18</v>
      </c>
      <c r="H146" s="31">
        <v>1.38</v>
      </c>
      <c r="I146" s="28" t="s">
        <v>21</v>
      </c>
    </row>
    <row r="147" spans="1:9" ht="12.5">
      <c r="A147" s="27">
        <v>1820806</v>
      </c>
      <c r="B147" s="28" t="s">
        <v>768</v>
      </c>
      <c r="C147" s="28" t="s">
        <v>769</v>
      </c>
      <c r="D147" s="29" t="s">
        <v>4559</v>
      </c>
      <c r="E147" s="28" t="str">
        <f ca="1">IFERROR(__xludf.DUMMYFUNCTION("GOOGLETRANSLATE(D147)"),"From greeting to the store reservation! AI chat bot development Introduction to learn to move the hand")</f>
        <v>From greeting to the store reservation! AI chat bot development Introduction to learn to move the hand</v>
      </c>
      <c r="F147" s="28" t="s">
        <v>4560</v>
      </c>
      <c r="G147" s="30">
        <v>4.3499999999999996</v>
      </c>
      <c r="H147" s="31">
        <v>5.18</v>
      </c>
      <c r="I147" s="28" t="s">
        <v>17</v>
      </c>
    </row>
    <row r="148" spans="1:9" ht="12.5">
      <c r="A148" s="28">
        <v>1824856</v>
      </c>
      <c r="B148" s="28" t="s">
        <v>225</v>
      </c>
      <c r="C148" s="28" t="s">
        <v>278</v>
      </c>
      <c r="D148" s="29" t="s">
        <v>4561</v>
      </c>
      <c r="E148" s="28" t="str">
        <f ca="1">IFERROR(__xludf.DUMMYFUNCTION("GOOGLETRANSLATE(D148)"),"[ARKit2.0 corresponding] thorough capture the ARKit in six Challenge")</f>
        <v>[ARKit2.0 corresponding] thorough capture the ARKit in six Challenge</v>
      </c>
      <c r="F148" s="28" t="s">
        <v>4562</v>
      </c>
      <c r="G148" s="30">
        <v>2.78</v>
      </c>
      <c r="H148" s="31">
        <v>2.78</v>
      </c>
      <c r="I148" s="28" t="s">
        <v>21</v>
      </c>
    </row>
    <row r="149" spans="1:9" ht="12.5">
      <c r="A149" s="27">
        <v>1835418</v>
      </c>
      <c r="B149" s="28" t="s">
        <v>1034</v>
      </c>
      <c r="C149" s="28" t="s">
        <v>1040</v>
      </c>
      <c r="D149" s="29" t="s">
        <v>4563</v>
      </c>
      <c r="E149" s="28" t="str">
        <f ca="1">IFERROR(__xludf.DUMMYFUNCTION("GOOGLETRANSLATE(D149)"),"Product Management An Introduction: Aim the world from the beginning you are making! Silicon Valley flow Product Management")</f>
        <v>Product Management An Introduction: Aim the world from the beginning you are making! Silicon Valley flow Product Management</v>
      </c>
      <c r="F149" s="28" t="s">
        <v>4564</v>
      </c>
      <c r="G149" s="30">
        <v>4.21</v>
      </c>
      <c r="H149" s="31">
        <v>3.65</v>
      </c>
      <c r="I149" s="28" t="s">
        <v>21</v>
      </c>
    </row>
    <row r="150" spans="1:9" ht="12.5">
      <c r="A150" s="27">
        <v>1838216</v>
      </c>
      <c r="B150" s="28" t="s">
        <v>31</v>
      </c>
      <c r="C150" s="28" t="s">
        <v>1161</v>
      </c>
      <c r="D150" s="29" t="s">
        <v>4565</v>
      </c>
      <c r="E150" s="28" t="str">
        <f ca="1">IFERROR(__xludf.DUMMYFUNCTION("GOOGLETRANSLATE(D150)"),"Practice by theory and Python Linear Algebra")</f>
        <v>Practice by theory and Python Linear Algebra</v>
      </c>
      <c r="F150" s="28" t="s">
        <v>4566</v>
      </c>
      <c r="G150" s="30">
        <v>4.16</v>
      </c>
      <c r="H150" s="31">
        <v>21.03</v>
      </c>
      <c r="I150" s="28" t="s">
        <v>21</v>
      </c>
    </row>
    <row r="151" spans="1:9" ht="12.5">
      <c r="A151" s="28">
        <v>1840640</v>
      </c>
      <c r="B151" s="28" t="s">
        <v>31</v>
      </c>
      <c r="C151" s="28" t="s">
        <v>1161</v>
      </c>
      <c r="D151" s="29" t="s">
        <v>4567</v>
      </c>
      <c r="E151" s="28" t="str">
        <f ca="1">IFERROR(__xludf.DUMMYFUNCTION("GOOGLETRANSLATE(D151)"),"Mathematics course for AI: little by little carefully to learn for artificial intelligence linear algebra / probability and statistics / differential")</f>
        <v>Mathematics course for AI: little by little carefully to learn for artificial intelligence linear algebra / probability and statistics / differential</v>
      </c>
      <c r="F151" s="28" t="s">
        <v>4410</v>
      </c>
      <c r="G151" s="30">
        <v>4.22</v>
      </c>
      <c r="H151" s="31">
        <v>5.35</v>
      </c>
      <c r="I151" s="28" t="s">
        <v>17</v>
      </c>
    </row>
    <row r="152" spans="1:9" ht="12.5">
      <c r="A152" s="28">
        <v>1851456</v>
      </c>
      <c r="B152" s="28" t="s">
        <v>31</v>
      </c>
      <c r="C152" s="28" t="s">
        <v>32</v>
      </c>
      <c r="D152" s="29" t="s">
        <v>4568</v>
      </c>
      <c r="E152" s="28" t="str">
        <f ca="1">IFERROR(__xludf.DUMMYFUNCTION("GOOGLETRANSLATE(D152)"),"AI · IoT application development Introduction to Dehajimeru Raspberry Pi and TensorFlow")</f>
        <v>AI · IoT application development Introduction to Dehajimeru Raspberry Pi and TensorFlow</v>
      </c>
      <c r="F152" s="28" t="s">
        <v>4377</v>
      </c>
      <c r="G152" s="30">
        <v>3.64</v>
      </c>
      <c r="H152" s="31">
        <v>1.5</v>
      </c>
      <c r="I152" s="28" t="s">
        <v>21</v>
      </c>
    </row>
    <row r="153" spans="1:9" ht="12.5">
      <c r="A153" s="28">
        <v>1853610</v>
      </c>
      <c r="B153" s="28" t="s">
        <v>864</v>
      </c>
      <c r="C153" s="28" t="s">
        <v>865</v>
      </c>
      <c r="D153" s="29" t="s">
        <v>4569</v>
      </c>
      <c r="E153" s="28" t="str">
        <f ca="1">IFERROR(__xludf.DUMMYFUNCTION("GOOGLETRANSLATE(D153)"),"[Become stronger in Revenue Analysis] marketing Revenue Analysis learn in Excel &amp; Simulation")</f>
        <v>[Become stronger in Revenue Analysis] marketing Revenue Analysis learn in Excel &amp; Simulation</v>
      </c>
      <c r="F153" s="28" t="s">
        <v>4439</v>
      </c>
      <c r="G153" s="30">
        <v>4.29</v>
      </c>
      <c r="H153" s="31">
        <v>4.26</v>
      </c>
      <c r="I153" s="28" t="s">
        <v>72</v>
      </c>
    </row>
    <row r="154" spans="1:9" ht="12.5">
      <c r="A154" s="28">
        <v>1857300</v>
      </c>
      <c r="B154" s="28" t="s">
        <v>225</v>
      </c>
      <c r="C154" s="28" t="s">
        <v>226</v>
      </c>
      <c r="D154" s="29" t="s">
        <v>4570</v>
      </c>
      <c r="E154" s="28" t="str">
        <f ca="1">IFERROR(__xludf.DUMMYFUNCTION("GOOGLETRANSLATE(D154)"),"Trying to publish a Web application to the net to learn for the first time of the Ruby on Rails Introduction -Ruby and Rails from basic")</f>
        <v>Trying to publish a Web application to the net to learn for the first time of the Ruby on Rails Introduction -Ruby and Rails from basic</v>
      </c>
      <c r="F154" s="28" t="s">
        <v>4428</v>
      </c>
      <c r="G154" s="30">
        <v>4.3099999999999996</v>
      </c>
      <c r="H154" s="31">
        <v>8.74</v>
      </c>
      <c r="I154" s="28" t="s">
        <v>17</v>
      </c>
    </row>
    <row r="155" spans="1:9" ht="12.5">
      <c r="A155" s="28">
        <v>1857364</v>
      </c>
      <c r="B155" s="28" t="s">
        <v>31</v>
      </c>
      <c r="C155" s="28" t="s">
        <v>1161</v>
      </c>
      <c r="D155" s="29" t="s">
        <v>4571</v>
      </c>
      <c r="E155" s="28" t="str">
        <f ca="1">IFERROR(__xludf.DUMMYFUNCTION("GOOGLETRANSLATE(D155)"),"【It's not too late yet! Mathematics course for understanding] AI development and machine learning")</f>
        <v>【It's not too late yet! Mathematics course for understanding] AI development and machine learning</v>
      </c>
      <c r="F155" s="28" t="s">
        <v>4377</v>
      </c>
      <c r="G155" s="30">
        <v>4.01</v>
      </c>
      <c r="H155" s="31">
        <v>2.6</v>
      </c>
      <c r="I155" s="28" t="s">
        <v>17</v>
      </c>
    </row>
    <row r="156" spans="1:9" ht="12.5">
      <c r="A156" s="28">
        <v>1860100</v>
      </c>
      <c r="B156" s="28" t="s">
        <v>12</v>
      </c>
      <c r="C156" s="28" t="s">
        <v>2319</v>
      </c>
      <c r="D156" s="29" t="s">
        <v>4572</v>
      </c>
      <c r="E156" s="28" t="str">
        <f ca="1">IFERROR(__xludf.DUMMYFUNCTION("GOOGLETRANSLATE(D156)"),"Amazon Web Service Master Course VPC ed.")</f>
        <v>Amazon Web Service Master Course VPC ed.</v>
      </c>
      <c r="F156" s="28" t="s">
        <v>4484</v>
      </c>
      <c r="G156" s="30">
        <v>4.28</v>
      </c>
      <c r="H156" s="31">
        <v>2.23</v>
      </c>
      <c r="I156" s="28" t="s">
        <v>21</v>
      </c>
    </row>
    <row r="157" spans="1:9" ht="12.5">
      <c r="A157" s="27">
        <v>1876906</v>
      </c>
      <c r="B157" s="28" t="s">
        <v>913</v>
      </c>
      <c r="C157" s="28" t="s">
        <v>914</v>
      </c>
      <c r="D157" s="29" t="s">
        <v>4573</v>
      </c>
      <c r="E157" s="28" t="str">
        <f ca="1">IFERROR(__xludf.DUMMYFUNCTION("GOOGLETRANSLATE(D157)"),"American English pronunciation remedial courses for Japanese Chapter 1")</f>
        <v>American English pronunciation remedial courses for Japanese Chapter 1</v>
      </c>
      <c r="F157" s="28" t="s">
        <v>4574</v>
      </c>
      <c r="G157" s="30">
        <v>4.0999999999999996</v>
      </c>
      <c r="H157" s="31">
        <v>0.77</v>
      </c>
      <c r="I157" s="28" t="s">
        <v>259</v>
      </c>
    </row>
    <row r="158" spans="1:9" ht="12.5">
      <c r="A158" s="28">
        <v>1879116</v>
      </c>
      <c r="B158" s="28" t="s">
        <v>225</v>
      </c>
      <c r="C158" s="28" t="s">
        <v>226</v>
      </c>
      <c r="D158" s="29" t="s">
        <v>4575</v>
      </c>
      <c r="E158" s="28" t="str">
        <f ca="1">IFERROR(__xludf.DUMMYFUNCTION("GOOGLETRANSLATE(D158)"),"Java language to get to learn in a week")</f>
        <v>Java language to get to learn in a week</v>
      </c>
      <c r="F158" s="28" t="s">
        <v>4481</v>
      </c>
      <c r="G158" s="30">
        <v>4.33</v>
      </c>
      <c r="H158" s="31">
        <v>11.14</v>
      </c>
      <c r="I158" s="28" t="s">
        <v>17</v>
      </c>
    </row>
    <row r="159" spans="1:9" ht="12.5">
      <c r="A159" s="28">
        <v>1885654</v>
      </c>
      <c r="B159" s="28" t="s">
        <v>864</v>
      </c>
      <c r="C159" s="28" t="s">
        <v>881</v>
      </c>
      <c r="D159" s="29" t="s">
        <v>4576</v>
      </c>
      <c r="E159" s="28" t="str">
        <f ca="1">IFERROR(__xludf.DUMMYFUNCTION("GOOGLETRANSLATE(D159)"),"Advanced bullet (bullet points) Techniques - How to write [summary] that incorporates a Logical thinking -")</f>
        <v>Advanced bullet (bullet points) Techniques - How to write [summary] that incorporates a Logical thinking -</v>
      </c>
      <c r="F159" s="28" t="s">
        <v>4541</v>
      </c>
      <c r="G159" s="30">
        <v>3.96</v>
      </c>
      <c r="H159" s="31">
        <v>1.37</v>
      </c>
      <c r="I159" s="28" t="s">
        <v>17</v>
      </c>
    </row>
    <row r="160" spans="1:9" ht="12.5">
      <c r="A160" s="28">
        <v>1886786</v>
      </c>
      <c r="B160" s="28" t="s">
        <v>31</v>
      </c>
      <c r="C160" s="28" t="s">
        <v>93</v>
      </c>
      <c r="D160" s="29" t="s">
        <v>4577</v>
      </c>
      <c r="E160" s="28" t="str">
        <f ca="1">IFERROR(__xludf.DUMMYFUNCTION("GOOGLETRANSLATE(D160)"),"Medical data analysis Introduction in the R language doctors teach - development Hen (aggregate): Let's make a report from the summary table and the official data!")</f>
        <v>Medical data analysis Introduction in the R language doctors teach - development Hen (aggregate): Let's make a report from the summary table and the official data!</v>
      </c>
      <c r="F160" s="28" t="s">
        <v>4525</v>
      </c>
      <c r="G160" s="30">
        <v>4.6900000000000004</v>
      </c>
      <c r="H160" s="31">
        <v>4.47</v>
      </c>
      <c r="I160" s="28" t="s">
        <v>72</v>
      </c>
    </row>
    <row r="161" spans="1:9" ht="12.5">
      <c r="A161" s="28">
        <v>1888514</v>
      </c>
      <c r="B161" s="28" t="s">
        <v>913</v>
      </c>
      <c r="C161" s="28" t="s">
        <v>914</v>
      </c>
      <c r="D161" s="29" t="s">
        <v>4578</v>
      </c>
      <c r="E161" s="28" t="str">
        <f ca="1">IFERROR(__xludf.DUMMYFUNCTION("GOOGLETRANSLATE(D161)"),"American English pronunciation remedial courses for Japanese Chapter 2")</f>
        <v>American English pronunciation remedial courses for Japanese Chapter 2</v>
      </c>
      <c r="F161" s="28" t="s">
        <v>4574</v>
      </c>
      <c r="G161" s="30">
        <v>4.2300000000000004</v>
      </c>
      <c r="H161" s="31">
        <v>0.9</v>
      </c>
      <c r="I161" s="28" t="s">
        <v>259</v>
      </c>
    </row>
    <row r="162" spans="1:9" ht="12.5">
      <c r="A162" s="28">
        <v>1895736</v>
      </c>
      <c r="B162" s="28" t="s">
        <v>597</v>
      </c>
      <c r="C162" s="28" t="s">
        <v>598</v>
      </c>
      <c r="D162" s="29" t="s">
        <v>4579</v>
      </c>
      <c r="E162" s="28" t="str">
        <f ca="1">IFERROR(__xludf.DUMMYFUNCTION("GOOGLETRANSLATE(D162)"),"[Information security foundation] need for security measures to see from the hacker's point of view")</f>
        <v>[Information security foundation] need for security measures to see from the hacker's point of view</v>
      </c>
      <c r="F162" s="28" t="s">
        <v>4444</v>
      </c>
      <c r="G162" s="30">
        <v>3.5</v>
      </c>
      <c r="H162" s="31">
        <v>1.02</v>
      </c>
      <c r="I162" s="28" t="s">
        <v>17</v>
      </c>
    </row>
    <row r="163" spans="1:9" ht="12.5">
      <c r="A163" s="28">
        <v>1897416</v>
      </c>
      <c r="B163" s="28" t="s">
        <v>913</v>
      </c>
      <c r="C163" s="28" t="s">
        <v>914</v>
      </c>
      <c r="D163" s="29" t="s">
        <v>4580</v>
      </c>
      <c r="E163" s="28" t="str">
        <f ca="1">IFERROR(__xludf.DUMMYFUNCTION("GOOGLETRANSLATE(D163)"),"Chapter 3 pronunciation correct course of American English for Japanese")</f>
        <v>Chapter 3 pronunciation correct course of American English for Japanese</v>
      </c>
      <c r="F163" s="28" t="s">
        <v>4574</v>
      </c>
      <c r="G163" s="30">
        <v>4.17</v>
      </c>
      <c r="H163" s="31">
        <v>0.83</v>
      </c>
      <c r="I163" s="28" t="s">
        <v>259</v>
      </c>
    </row>
    <row r="164" spans="1:9" ht="12.5">
      <c r="A164" s="28">
        <v>1915034</v>
      </c>
      <c r="B164" s="28" t="s">
        <v>225</v>
      </c>
      <c r="C164" s="28" t="s">
        <v>226</v>
      </c>
      <c r="D164" s="29" t="s">
        <v>4581</v>
      </c>
      <c r="E164" s="28" t="str">
        <f ca="1">IFERROR(__xludf.DUMMYFUNCTION("GOOGLETRANSLATE(D164)"),"How to C # programming experience zero is to be able to some extent [Windows Forms ed.]")</f>
        <v>How to C # programming experience zero is to be able to some extent [Windows Forms ed.]</v>
      </c>
      <c r="F164" s="28" t="s">
        <v>4582</v>
      </c>
      <c r="G164" s="30">
        <v>4.4400000000000004</v>
      </c>
      <c r="H164" s="31">
        <v>1.86</v>
      </c>
      <c r="I164" s="28" t="s">
        <v>17</v>
      </c>
    </row>
    <row r="165" spans="1:9" ht="12.5">
      <c r="A165" s="28">
        <v>1925998</v>
      </c>
      <c r="B165" s="28" t="s">
        <v>225</v>
      </c>
      <c r="C165" s="28" t="s">
        <v>288</v>
      </c>
      <c r="D165" s="29" t="s">
        <v>4583</v>
      </c>
      <c r="E165" s="28" t="str">
        <f ca="1">IFERROR(__xludf.DUMMYFUNCTION("GOOGLETRANSLATE(D165)"),"[Start from zero] SQL introductory training start with Oracle")</f>
        <v>[Start from zero] SQL introductory training start with Oracle</v>
      </c>
      <c r="F165" s="28" t="s">
        <v>4584</v>
      </c>
      <c r="G165" s="30">
        <v>4.07</v>
      </c>
      <c r="H165" s="31">
        <v>4.3899999999999997</v>
      </c>
      <c r="I165" s="28" t="s">
        <v>17</v>
      </c>
    </row>
    <row r="166" spans="1:9" ht="12.5">
      <c r="A166" s="27">
        <v>1938324</v>
      </c>
      <c r="B166" s="28" t="s">
        <v>225</v>
      </c>
      <c r="C166" s="28" t="s">
        <v>226</v>
      </c>
      <c r="D166" s="29" t="s">
        <v>4585</v>
      </c>
      <c r="E166" s="28" t="str">
        <f ca="1">IFERROR(__xludf.DUMMYFUNCTION("GOOGLETRANSLATE(D166)"),"Development of Shisutore Fintech app bit coin in the Go introductory + application to teach the active Silicon Valley engineers")</f>
        <v>Development of Shisutore Fintech app bit coin in the Go introductory + application to teach the active Silicon Valley engineers</v>
      </c>
      <c r="F166" s="28" t="s">
        <v>4424</v>
      </c>
      <c r="G166" s="30">
        <v>4.4400000000000004</v>
      </c>
      <c r="H166" s="31">
        <v>14.88</v>
      </c>
      <c r="I166" s="28" t="s">
        <v>17</v>
      </c>
    </row>
    <row r="167" spans="1:9" ht="12.5">
      <c r="A167" s="28">
        <v>1938484</v>
      </c>
      <c r="B167" s="28" t="s">
        <v>672</v>
      </c>
      <c r="C167" s="28" t="s">
        <v>695</v>
      </c>
      <c r="D167" s="29" t="s">
        <v>4586</v>
      </c>
      <c r="E167" s="28" t="str">
        <f ca="1">IFERROR(__xludf.DUMMYFUNCTION("GOOGLETRANSLATE(D167)"),"Course to win all of the basic knowledge of technology / next-generation business model know-how of artificial intelligence (AI) × IoT × block chain era")</f>
        <v>Course to win all of the basic knowledge of technology / next-generation business model know-how of artificial intelligence (AI) × IoT × block chain era</v>
      </c>
      <c r="F167" s="28" t="s">
        <v>4587</v>
      </c>
      <c r="G167" s="30">
        <v>3.93</v>
      </c>
      <c r="H167" s="31">
        <v>7.79</v>
      </c>
      <c r="I167" s="28" t="s">
        <v>17</v>
      </c>
    </row>
    <row r="168" spans="1:9" ht="12.5">
      <c r="A168" s="28">
        <v>1947402</v>
      </c>
      <c r="B168" s="28" t="s">
        <v>102</v>
      </c>
      <c r="C168" s="28" t="s">
        <v>116</v>
      </c>
      <c r="D168" s="29" t="s">
        <v>4588</v>
      </c>
      <c r="E168" s="28" t="str">
        <f ca="1">IFERROR(__xludf.DUMMYFUNCTION("GOOGLETRANSLATE(D168)"),"Premiere Pro users must see! Let's make a video of professional-looking in Davinci Resolve 15! Ultra-Getting Started")</f>
        <v>Premiere Pro users must see! Let's make a video of professional-looking in Davinci Resolve 15! Ultra-Getting Started</v>
      </c>
      <c r="F168" s="28" t="s">
        <v>4380</v>
      </c>
      <c r="G168" s="30">
        <v>4.53</v>
      </c>
      <c r="H168" s="31">
        <v>3.67</v>
      </c>
      <c r="I168" s="28" t="s">
        <v>17</v>
      </c>
    </row>
    <row r="169" spans="1:9" ht="12.5">
      <c r="A169" s="28">
        <v>1949062</v>
      </c>
      <c r="B169" s="28" t="s">
        <v>12</v>
      </c>
      <c r="C169" s="28" t="s">
        <v>2319</v>
      </c>
      <c r="D169" s="29" t="s">
        <v>4589</v>
      </c>
      <c r="E169" s="28" t="str">
        <f ca="1">IFERROR(__xludf.DUMMYFUNCTION("GOOGLETRANSLATE(D169)"),"Amazon Web Service Master Course EC2 ed.")</f>
        <v>Amazon Web Service Master Course EC2 ed.</v>
      </c>
      <c r="F169" s="28" t="s">
        <v>4484</v>
      </c>
      <c r="G169" s="30">
        <v>4.21</v>
      </c>
      <c r="H169" s="31">
        <v>5.04</v>
      </c>
      <c r="I169" s="28" t="s">
        <v>21</v>
      </c>
    </row>
    <row r="170" spans="1:9" ht="12.5">
      <c r="A170" s="28">
        <v>1949202</v>
      </c>
      <c r="B170" s="28" t="s">
        <v>31</v>
      </c>
      <c r="C170" s="28" t="s">
        <v>37</v>
      </c>
      <c r="D170" s="29" t="s">
        <v>4590</v>
      </c>
      <c r="E170" s="28" t="str">
        <f ca="1">IFERROR(__xludf.DUMMYFUNCTION("GOOGLETRANSLATE(D170)"),"Education data analysis Introduction to Python: from Python basic to regression analysis and item analysis")</f>
        <v>Education data analysis Introduction to Python: from Python basic to regression analysis and item analysis</v>
      </c>
      <c r="F170" s="28" t="s">
        <v>4591</v>
      </c>
      <c r="G170" s="30">
        <v>3.89</v>
      </c>
      <c r="H170" s="31">
        <v>6.73</v>
      </c>
      <c r="I170" s="28" t="s">
        <v>17</v>
      </c>
    </row>
    <row r="171" spans="1:9" ht="12.5">
      <c r="A171" s="28">
        <v>1952056</v>
      </c>
      <c r="B171" s="28" t="s">
        <v>102</v>
      </c>
      <c r="C171" s="28" t="s">
        <v>110</v>
      </c>
      <c r="D171" s="29" t="s">
        <v>4592</v>
      </c>
      <c r="E171" s="28" t="str">
        <f ca="1">IFERROR(__xludf.DUMMYFUNCTION("GOOGLETRANSLATE(D171)"),"[Ultra Introduction] draw a character in Adobe Illustrator from beginner to data traffic trying to make the original goods")</f>
        <v>[Ultra Introduction] draw a character in Adobe Illustrator from beginner to data traffic trying to make the original goods</v>
      </c>
      <c r="F171" s="28" t="s">
        <v>4593</v>
      </c>
      <c r="G171" s="30">
        <v>4.51</v>
      </c>
      <c r="H171" s="31">
        <v>2.78</v>
      </c>
      <c r="I171" s="28" t="s">
        <v>17</v>
      </c>
    </row>
    <row r="172" spans="1:9" ht="12.5">
      <c r="A172" s="27">
        <v>1961628</v>
      </c>
      <c r="B172" s="28" t="s">
        <v>225</v>
      </c>
      <c r="C172" s="28" t="s">
        <v>229</v>
      </c>
      <c r="D172" s="29" t="s">
        <v>4594</v>
      </c>
      <c r="E172" s="28" t="str">
        <f ca="1">IFERROR(__xludf.DUMMYFUNCTION("GOOGLETRANSLATE(D172)"),"Git Introduction: Git for non-programmers")</f>
        <v>Git Introduction: Git for non-programmers</v>
      </c>
      <c r="F172" s="28" t="s">
        <v>4458</v>
      </c>
      <c r="G172" s="30">
        <v>4.3899999999999997</v>
      </c>
      <c r="H172" s="31">
        <v>6.03</v>
      </c>
      <c r="I172" s="28" t="s">
        <v>17</v>
      </c>
    </row>
    <row r="173" spans="1:9" ht="12.5">
      <c r="A173" s="27">
        <v>1965718</v>
      </c>
      <c r="B173" s="28" t="s">
        <v>225</v>
      </c>
      <c r="C173" s="28" t="s">
        <v>235</v>
      </c>
      <c r="D173" s="29" t="s">
        <v>4595</v>
      </c>
      <c r="E173" s="28" t="str">
        <f ca="1">IFERROR(__xludf.DUMMYFUNCTION("GOOGLETRANSLATE(D173)"),"Web application development course in Python + Flask! ! - to create a SNS to master the Flask from 0")</f>
        <v>Web application development course in Python + Flask! ! - to create a SNS to master the Flask from 0</v>
      </c>
      <c r="F173" s="28" t="s">
        <v>4596</v>
      </c>
      <c r="G173" s="30">
        <v>4.4400000000000004</v>
      </c>
      <c r="H173" s="31">
        <v>28.4</v>
      </c>
      <c r="I173" s="28" t="s">
        <v>17</v>
      </c>
    </row>
    <row r="174" spans="1:9" ht="12.5">
      <c r="A174" s="27">
        <v>1970908</v>
      </c>
      <c r="B174" s="28" t="s">
        <v>864</v>
      </c>
      <c r="C174" s="28" t="s">
        <v>865</v>
      </c>
      <c r="D174" s="29" t="s">
        <v>4597</v>
      </c>
      <c r="E174" s="28" t="str">
        <f ca="1">IFERROR(__xludf.DUMMYFUNCTION("GOOGLETRANSLATE(D174)"),"Excel VBA [Part 3] (practical macro introductory) user form creation VBA programming in which you can enter the order data in 5 seconds")</f>
        <v>Excel VBA [Part 3] (practical macro introductory) user form creation VBA programming in which you can enter the order data in 5 seconds</v>
      </c>
      <c r="F174" s="28" t="s">
        <v>4366</v>
      </c>
      <c r="G174" s="30">
        <v>4.6100000000000003</v>
      </c>
      <c r="H174" s="31">
        <v>5.93</v>
      </c>
      <c r="I174" s="28" t="s">
        <v>72</v>
      </c>
    </row>
    <row r="175" spans="1:9" ht="12.5">
      <c r="A175" s="28">
        <v>1973926</v>
      </c>
      <c r="B175" s="28" t="s">
        <v>31</v>
      </c>
      <c r="C175" s="28" t="s">
        <v>32</v>
      </c>
      <c r="D175" s="29" t="s">
        <v>4598</v>
      </c>
      <c r="E175" s="28" t="str">
        <f ca="1">IFERROR(__xludf.DUMMYFUNCTION("GOOGLETRANSLATE(D175)"),"[Learn it in Kaggle] deep learning development Introduction to learn Python and Keras")</f>
        <v>[Learn it in Kaggle] deep learning development Introduction to learn Python and Keras</v>
      </c>
      <c r="F175" s="28" t="s">
        <v>4377</v>
      </c>
      <c r="G175" s="30">
        <v>4.26</v>
      </c>
      <c r="H175" s="31">
        <v>4</v>
      </c>
      <c r="I175" s="28" t="s">
        <v>17</v>
      </c>
    </row>
    <row r="176" spans="1:9" ht="12.5">
      <c r="A176" s="28">
        <v>1983274</v>
      </c>
      <c r="B176" s="28" t="s">
        <v>225</v>
      </c>
      <c r="C176" s="28" t="s">
        <v>226</v>
      </c>
      <c r="D176" s="29" t="s">
        <v>4599</v>
      </c>
      <c r="E176" s="28" t="str">
        <f ca="1">IFERROR(__xludf.DUMMYFUNCTION("GOOGLETRANSLATE(D176)"),"[First step toward business efficiency] Web Scraping - Introduction Hen due to Python")</f>
        <v>[First step toward business efficiency] Web Scraping - Introduction Hen due to Python</v>
      </c>
      <c r="F176" s="28" t="s">
        <v>4600</v>
      </c>
      <c r="G176" s="30">
        <v>4.2699999999999996</v>
      </c>
      <c r="H176" s="31">
        <v>2.68</v>
      </c>
      <c r="I176" s="28" t="s">
        <v>72</v>
      </c>
    </row>
    <row r="177" spans="1:9" ht="12.5">
      <c r="A177" s="28">
        <v>1988724</v>
      </c>
      <c r="B177" s="28" t="s">
        <v>102</v>
      </c>
      <c r="C177" s="28" t="s">
        <v>116</v>
      </c>
      <c r="D177" s="29" t="s">
        <v>4601</v>
      </c>
      <c r="E177" s="28" t="str">
        <f ca="1">IFERROR(__xludf.DUMMYFUNCTION("GOOGLETRANSLATE(D177)"),"Active creators teach! After Effects motion graphics ""super"" Introduction")</f>
        <v>Active creators teach! After Effects motion graphics "super" Introduction</v>
      </c>
      <c r="F177" s="28" t="s">
        <v>4380</v>
      </c>
      <c r="G177" s="30">
        <v>4.46</v>
      </c>
      <c r="H177" s="31">
        <v>6.44</v>
      </c>
      <c r="I177" s="28" t="s">
        <v>21</v>
      </c>
    </row>
    <row r="178" spans="1:9" ht="12.5">
      <c r="A178" s="27">
        <v>1989996</v>
      </c>
      <c r="B178" s="28" t="s">
        <v>557</v>
      </c>
      <c r="C178" s="28" t="s">
        <v>1603</v>
      </c>
      <c r="D178" s="29" t="s">
        <v>4602</v>
      </c>
      <c r="E178" s="28" t="str">
        <f ca="1">IFERROR(__xludf.DUMMYFUNCTION("GOOGLETRANSLATE(D178)"),"[Seen in 4 hours] valuation studying in Excel (finance) Basic Course")</f>
        <v>[Seen in 4 hours] valuation studying in Excel (finance) Basic Course</v>
      </c>
      <c r="F178" s="28" t="s">
        <v>4439</v>
      </c>
      <c r="G178" s="30">
        <v>4.4800000000000004</v>
      </c>
      <c r="H178" s="31">
        <v>4.2300000000000004</v>
      </c>
      <c r="I178" s="28" t="s">
        <v>72</v>
      </c>
    </row>
    <row r="179" spans="1:9" ht="12.5">
      <c r="A179" s="28">
        <v>2000022</v>
      </c>
      <c r="B179" s="28" t="s">
        <v>31</v>
      </c>
      <c r="C179" s="28" t="s">
        <v>32</v>
      </c>
      <c r="D179" s="29" t="s">
        <v>4603</v>
      </c>
      <c r="E179" s="28" t="str">
        <f ca="1">IFERROR(__xludf.DUMMYFUNCTION("GOOGLETRANSLATE(D179)"),"Deep Learning: Principles of building from scratch in Python learn artificial intelligence and (AI) deep learning")</f>
        <v>Deep Learning: Principles of building from scratch in Python learn artificial intelligence and (AI) deep learning</v>
      </c>
      <c r="F179" s="28" t="s">
        <v>4410</v>
      </c>
      <c r="G179" s="30">
        <v>4.12</v>
      </c>
      <c r="H179" s="31">
        <v>6.72</v>
      </c>
      <c r="I179" s="28" t="s">
        <v>17</v>
      </c>
    </row>
    <row r="180" spans="1:9" ht="12.5">
      <c r="A180" s="28">
        <v>2029252</v>
      </c>
      <c r="B180" s="28" t="s">
        <v>102</v>
      </c>
      <c r="C180" s="28" t="s">
        <v>103</v>
      </c>
      <c r="D180" s="29" t="s">
        <v>4604</v>
      </c>
      <c r="E180" s="28" t="str">
        <f ca="1">IFERROR(__xludf.DUMMYFUNCTION("GOOGLETRANSLATE(D180)"),"[Iroha] PC is not good beginner's friendly WordPress blog How to make")</f>
        <v>[Iroha] PC is not good beginner's friendly WordPress blog How to make</v>
      </c>
      <c r="F180" s="28" t="s">
        <v>4605</v>
      </c>
      <c r="G180" s="30">
        <v>4.33</v>
      </c>
      <c r="H180" s="31">
        <v>4.46</v>
      </c>
      <c r="I180" s="28" t="s">
        <v>17</v>
      </c>
    </row>
    <row r="181" spans="1:9" ht="12.5">
      <c r="A181" s="27">
        <v>2037478</v>
      </c>
      <c r="B181" s="28" t="s">
        <v>864</v>
      </c>
      <c r="C181" s="28" t="s">
        <v>865</v>
      </c>
      <c r="D181" s="29" t="s">
        <v>4606</v>
      </c>
      <c r="E181" s="28" t="str">
        <f ca="1">IFERROR(__xludf.DUMMYFUNCTION("GOOGLETRANSLATE(D181)"),"The Excel shortcut Shinobu Hojo more than 90 of the Excel time reduction technique, 150 minutes to remember to move the hand")</f>
        <v>The Excel shortcut Shinobu Hojo more than 90 of the Excel time reduction technique, 150 minutes to remember to move the hand</v>
      </c>
      <c r="F181" s="28" t="s">
        <v>4366</v>
      </c>
      <c r="G181" s="30">
        <v>4.49</v>
      </c>
      <c r="H181" s="31">
        <v>2.2200000000000002</v>
      </c>
      <c r="I181" s="28" t="s">
        <v>21</v>
      </c>
    </row>
    <row r="182" spans="1:9" ht="12.5">
      <c r="A182" s="28">
        <v>2057065</v>
      </c>
      <c r="B182" s="28" t="s">
        <v>597</v>
      </c>
      <c r="C182" s="28" t="s">
        <v>1636</v>
      </c>
      <c r="D182" s="29" t="s">
        <v>4607</v>
      </c>
      <c r="E182" s="28" t="str">
        <f ca="1">IFERROR(__xludf.DUMMYFUNCTION("GOOGLETRANSLATE(D182)"),"[Ultra Introduction] inexperienced person tries to 3D printing and modeling a character in the Fusion 360 to 3D printing")</f>
        <v>[Ultra Introduction] inexperienced person tries to 3D printing and modeling a character in the Fusion 360 to 3D printing</v>
      </c>
      <c r="F182" s="28" t="s">
        <v>4593</v>
      </c>
      <c r="G182" s="30">
        <v>4.33</v>
      </c>
      <c r="H182" s="31">
        <v>2.33</v>
      </c>
      <c r="I182" s="28" t="s">
        <v>17</v>
      </c>
    </row>
    <row r="183" spans="1:9" ht="12.5">
      <c r="A183" s="27">
        <v>2070951</v>
      </c>
      <c r="B183" s="28" t="s">
        <v>597</v>
      </c>
      <c r="C183" s="28" t="s">
        <v>601</v>
      </c>
      <c r="D183" s="29" t="s">
        <v>4608</v>
      </c>
      <c r="E183" s="28" t="str">
        <f ca="1">IFERROR(__xludf.DUMMYFUNCTION("GOOGLETRANSLATE(D183)"),"- Basic Information Technology Engineers Examination fastest pass courses to learn efficiently from the beginning -")</f>
        <v>- Basic Information Technology Engineers Examination fastest pass courses to learn efficiently from the beginning -</v>
      </c>
      <c r="F183" s="28" t="s">
        <v>4609</v>
      </c>
      <c r="G183" s="30">
        <v>4.3</v>
      </c>
      <c r="H183" s="31">
        <v>11.81</v>
      </c>
      <c r="I183" s="28" t="s">
        <v>17</v>
      </c>
    </row>
    <row r="184" spans="1:9" ht="12.5">
      <c r="A184" s="27">
        <v>2073632</v>
      </c>
      <c r="B184" s="28" t="s">
        <v>225</v>
      </c>
      <c r="C184" s="28" t="s">
        <v>235</v>
      </c>
      <c r="D184" s="29" t="s">
        <v>4610</v>
      </c>
      <c r="E184" s="28" t="str">
        <f ca="1">IFERROR(__xludf.DUMMYFUNCTION("GOOGLETRANSLATE(D184)"),"[Hamushiki] mastered the module Bandler webpack in one day! To understand from the installation to customize a full scratch")</f>
        <v>[Hamushiki] mastered the module Bandler webpack in one day! To understand from the installation to customize a full scratch</v>
      </c>
      <c r="F184" s="28" t="s">
        <v>4500</v>
      </c>
      <c r="G184" s="30">
        <v>4.2300000000000004</v>
      </c>
      <c r="H184" s="31">
        <v>6.07</v>
      </c>
      <c r="I184" s="28" t="s">
        <v>21</v>
      </c>
    </row>
    <row r="185" spans="1:9" ht="12.5">
      <c r="A185" s="27">
        <v>2078782</v>
      </c>
      <c r="B185" s="28" t="s">
        <v>768</v>
      </c>
      <c r="C185" s="28" t="s">
        <v>772</v>
      </c>
      <c r="D185" s="29" t="s">
        <v>4611</v>
      </c>
      <c r="E185" s="28" t="str">
        <f ca="1">IFERROR(__xludf.DUMMYFUNCTION("GOOGLETRANSLATE(D185)"),"[How to get started courses for beginners Web to attract customers] WordPress and mechanisms of complete course of DRM · list marketing using the e-mail magazine")</f>
        <v>[How to get started courses for beginners Web to attract customers] WordPress and mechanisms of complete course of DRM · list marketing using the e-mail magazine</v>
      </c>
      <c r="F185" s="28" t="s">
        <v>4612</v>
      </c>
      <c r="G185" s="30">
        <v>4.43</v>
      </c>
      <c r="H185" s="31">
        <v>13.32</v>
      </c>
      <c r="I185" s="28" t="s">
        <v>17</v>
      </c>
    </row>
    <row r="186" spans="1:9" ht="12.5">
      <c r="A186" s="28">
        <v>2080034</v>
      </c>
      <c r="B186" s="28" t="s">
        <v>864</v>
      </c>
      <c r="C186" s="28" t="s">
        <v>865</v>
      </c>
      <c r="D186" s="29" t="s">
        <v>4613</v>
      </c>
      <c r="E186" s="28" t="str">
        <f ca="1">IFERROR(__xludf.DUMMYFUNCTION("GOOGLETRANSLATE(D186)"),"Excel VLOOKUP master (INDEX + MATCH function pieces) to the advanced ninja series to learn to move the hand, ""Gale book""")</f>
        <v>Excel VLOOKUP master (INDEX + MATCH function pieces) to the advanced ninja series to learn to move the hand, "Gale book"</v>
      </c>
      <c r="F186" s="28" t="s">
        <v>4366</v>
      </c>
      <c r="G186" s="30">
        <v>4.4000000000000004</v>
      </c>
      <c r="H186" s="31">
        <v>2.13</v>
      </c>
      <c r="I186" s="28" t="s">
        <v>259</v>
      </c>
    </row>
    <row r="187" spans="1:9" ht="12.5">
      <c r="A187" s="27">
        <v>2092508</v>
      </c>
      <c r="B187" s="28" t="s">
        <v>672</v>
      </c>
      <c r="C187" s="28" t="s">
        <v>695</v>
      </c>
      <c r="D187" s="29" t="s">
        <v>4614</v>
      </c>
      <c r="E187" s="28" t="str">
        <f ca="1">IFERROR(__xludf.DUMMYFUNCTION("GOOGLETRANSLATE(D187)"),"Each one illustrates the mechanism of the block chain - how it works systematically to the latest status and future of the utilization methods while bursting the")</f>
        <v>Each one illustrates the mechanism of the block chain - how it works systematically to the latest status and future of the utilization methods while bursting the</v>
      </c>
      <c r="F187" s="28" t="s">
        <v>4419</v>
      </c>
      <c r="G187" s="30">
        <v>4.25</v>
      </c>
      <c r="H187" s="31">
        <v>8.86</v>
      </c>
      <c r="I187" s="28" t="s">
        <v>21</v>
      </c>
    </row>
    <row r="188" spans="1:9" ht="12.5">
      <c r="A188" s="27">
        <v>2101146</v>
      </c>
      <c r="B188" s="28" t="s">
        <v>768</v>
      </c>
      <c r="C188" s="28" t="s">
        <v>769</v>
      </c>
      <c r="D188" s="29" t="s">
        <v>4615</v>
      </c>
      <c r="E188" s="28" t="str">
        <f ca="1">IFERROR(__xludf.DUMMYFUNCTION("GOOGLETRANSLATE(D188)"),"Natural language processing and the chat bot: AI conversation engine development and sentence generated by")</f>
        <v>Natural language processing and the chat bot: AI conversation engine development and sentence generated by</v>
      </c>
      <c r="F188" s="28" t="s">
        <v>4410</v>
      </c>
      <c r="G188" s="30">
        <v>4.26</v>
      </c>
      <c r="H188" s="31">
        <v>5.95</v>
      </c>
      <c r="I188" s="28" t="s">
        <v>17</v>
      </c>
    </row>
    <row r="189" spans="1:9" ht="12.5">
      <c r="A189" s="28">
        <v>2115878</v>
      </c>
      <c r="B189" s="28" t="s">
        <v>12</v>
      </c>
      <c r="C189" s="28" t="s">
        <v>2319</v>
      </c>
      <c r="D189" s="29" t="s">
        <v>4616</v>
      </c>
      <c r="E189" s="28" t="str">
        <f ca="1">IFERROR(__xludf.DUMMYFUNCTION("GOOGLETRANSLATE(D189)"),"Microsoft Azure introductory course to learn while making (IaaS ed.)")</f>
        <v>Microsoft Azure introductory course to learn while making (IaaS ed.)</v>
      </c>
      <c r="F189" s="28" t="s">
        <v>4617</v>
      </c>
      <c r="G189" s="30">
        <v>4.33</v>
      </c>
      <c r="H189" s="31">
        <v>5.31</v>
      </c>
      <c r="I189" s="28" t="s">
        <v>17</v>
      </c>
    </row>
    <row r="190" spans="1:9" ht="12.5">
      <c r="A190" s="28">
        <v>2123138</v>
      </c>
      <c r="B190" s="28" t="s">
        <v>31</v>
      </c>
      <c r="C190" s="28" t="s">
        <v>93</v>
      </c>
      <c r="D190" s="29" t="s">
        <v>4618</v>
      </c>
      <c r="E190" s="28" t="str">
        <f ca="1">IFERROR(__xludf.DUMMYFUNCTION("GOOGLETRANSLATE(D190)"),"""Tableau Prep Introduction of from zero"" for the analysts who want to mastering the Tableau")</f>
        <v>"Tableau Prep Introduction of from zero" for the analysts who want to mastering the Tableau</v>
      </c>
      <c r="F190" s="28" t="s">
        <v>4467</v>
      </c>
      <c r="G190" s="30">
        <v>4.2300000000000004</v>
      </c>
      <c r="H190" s="31">
        <v>4.8099999999999996</v>
      </c>
      <c r="I190" s="28" t="s">
        <v>21</v>
      </c>
    </row>
    <row r="191" spans="1:9" ht="12.5">
      <c r="A191" s="28">
        <v>2136260</v>
      </c>
      <c r="B191" s="28" t="s">
        <v>225</v>
      </c>
      <c r="C191" s="28" t="s">
        <v>235</v>
      </c>
      <c r="D191" s="29" t="s">
        <v>4619</v>
      </c>
      <c r="E191" s="28" t="str">
        <f ca="1">IFERROR(__xludf.DUMMYFUNCTION("GOOGLETRANSLATE(D191)"),"Node.js speed 習講 seat Part2")</f>
        <v>Node.js speed 習講 seat Part2</v>
      </c>
      <c r="F191" s="28" t="s">
        <v>4476</v>
      </c>
      <c r="G191" s="30">
        <v>4.34</v>
      </c>
      <c r="H191" s="31">
        <v>1.97</v>
      </c>
      <c r="I191" s="28" t="s">
        <v>72</v>
      </c>
    </row>
    <row r="192" spans="1:9" ht="12.5">
      <c r="A192" s="28">
        <v>2146650</v>
      </c>
      <c r="B192" s="28" t="s">
        <v>225</v>
      </c>
      <c r="C192" s="28" t="s">
        <v>226</v>
      </c>
      <c r="D192" s="29" t="s">
        <v>4620</v>
      </c>
      <c r="E192" s="28" t="str">
        <f ca="1">IFERROR(__xludf.DUMMYFUNCTION("GOOGLETRANSLATE(D192)"),"[Yumetsuki flow] Python scraping Introduction 2 - I will tell you the tips you use the Web API to make a quick scraping program -")</f>
        <v>[Yumetsuki flow] Python scraping Introduction 2 - I will tell you the tips you use the Web API to make a quick scraping program -</v>
      </c>
      <c r="F192" s="28" t="s">
        <v>4621</v>
      </c>
      <c r="G192" s="30">
        <v>3.75</v>
      </c>
      <c r="H192" s="31">
        <v>0.76</v>
      </c>
      <c r="I192" s="28" t="s">
        <v>17</v>
      </c>
    </row>
    <row r="193" spans="1:9" ht="12.5">
      <c r="A193" s="28">
        <v>2148120</v>
      </c>
      <c r="B193" s="28" t="s">
        <v>225</v>
      </c>
      <c r="C193" s="28" t="s">
        <v>229</v>
      </c>
      <c r="D193" s="29" t="s">
        <v>4622</v>
      </c>
      <c r="E193" s="28" t="str">
        <f ca="1">IFERROR(__xludf.DUMMYFUNCTION("GOOGLETRANSLATE(D193)"),"Teach active duty engineer, learn to move the hand Google Cloud Platform (GCP) Introduction")</f>
        <v>Teach active duty engineer, learn to move the hand Google Cloud Platform (GCP) Introduction</v>
      </c>
      <c r="F193" s="28" t="s">
        <v>4623</v>
      </c>
      <c r="G193" s="30">
        <v>4.1399999999999997</v>
      </c>
      <c r="H193" s="31">
        <v>2.71</v>
      </c>
      <c r="I193" s="28" t="s">
        <v>17</v>
      </c>
    </row>
    <row r="194" spans="1:9" ht="12.5">
      <c r="A194" s="28">
        <v>2162830</v>
      </c>
      <c r="B194" s="28" t="s">
        <v>864</v>
      </c>
      <c r="C194" s="28" t="s">
        <v>865</v>
      </c>
      <c r="D194" s="29" t="s">
        <v>4624</v>
      </c>
      <c r="E194" s="28" t="str">
        <f ca="1">IFERROR(__xludf.DUMMYFUNCTION("GOOGLETRANSLATE(D194)"),"Aggregate analysis in the pivot table to 180 minutes to Excel expert, graph, ninja master ""forest"" to learn to move the hand up to the dashboard")</f>
        <v>Aggregate analysis in the pivot table to 180 minutes to Excel expert, graph, ninja master "forest" to learn to move the hand up to the dashboard</v>
      </c>
      <c r="F194" s="28" t="s">
        <v>4366</v>
      </c>
      <c r="G194" s="30">
        <v>4.47</v>
      </c>
      <c r="H194" s="31">
        <v>2.86</v>
      </c>
      <c r="I194" s="28" t="s">
        <v>259</v>
      </c>
    </row>
    <row r="195" spans="1:9" ht="12.5">
      <c r="A195" s="28">
        <v>2169730</v>
      </c>
      <c r="B195" s="28" t="s">
        <v>225</v>
      </c>
      <c r="C195" s="28" t="s">
        <v>288</v>
      </c>
      <c r="D195" s="29" t="s">
        <v>4625</v>
      </c>
      <c r="E195" s="28" t="str">
        <f ca="1">IFERROR(__xludf.DUMMYFUNCTION("GOOGLETRANSLATE(D195)"),"Learn in kintone, Web database management Introduction")</f>
        <v>Learn in kintone, Web database management Introduction</v>
      </c>
      <c r="F195" s="28" t="s">
        <v>4458</v>
      </c>
      <c r="G195" s="30">
        <v>4.18</v>
      </c>
      <c r="H195" s="31">
        <v>3.99</v>
      </c>
      <c r="I195" s="28" t="s">
        <v>21</v>
      </c>
    </row>
    <row r="196" spans="1:9" ht="12.5">
      <c r="A196" s="27">
        <v>2170164</v>
      </c>
      <c r="B196" s="28" t="s">
        <v>597</v>
      </c>
      <c r="C196" s="28" t="s">
        <v>601</v>
      </c>
      <c r="D196" s="29" t="s">
        <v>4626</v>
      </c>
      <c r="E196" s="28" t="str">
        <f ca="1">IFERROR(__xludf.DUMMYFUNCTION("GOOGLETRANSLATE(D196)"),"This alone OK! AWS Certified Solutions Architect - Associate test breakthrough course (SAA-C02 test compatible version)")</f>
        <v>This alone OK! AWS Certified Solutions Architect - Associate test breakthrough course (SAA-C02 test compatible version)</v>
      </c>
      <c r="F196" s="28" t="s">
        <v>4627</v>
      </c>
      <c r="G196" s="30">
        <v>4.16</v>
      </c>
      <c r="H196" s="31">
        <v>32.08</v>
      </c>
      <c r="I196" s="28" t="s">
        <v>17</v>
      </c>
    </row>
    <row r="197" spans="1:9" ht="12.5">
      <c r="A197" s="27">
        <v>2184182</v>
      </c>
      <c r="B197" s="28" t="s">
        <v>225</v>
      </c>
      <c r="C197" s="28" t="s">
        <v>226</v>
      </c>
      <c r="D197" s="29" t="s">
        <v>4628</v>
      </c>
      <c r="E197" s="28" t="str">
        <f ca="1">IFERROR(__xludf.DUMMYFUNCTION("GOOGLETRANSLATE(D197)"),"C # beginners 30 grammar of the first to wear")</f>
        <v>C # beginners 30 grammar of the first to wear</v>
      </c>
      <c r="F197" s="28" t="s">
        <v>4582</v>
      </c>
      <c r="G197" s="30">
        <v>4.2</v>
      </c>
      <c r="H197" s="31">
        <v>4.91</v>
      </c>
      <c r="I197" s="28" t="s">
        <v>17</v>
      </c>
    </row>
    <row r="198" spans="1:9" ht="12.5">
      <c r="A198" s="28">
        <v>2190598</v>
      </c>
      <c r="B198" s="28" t="s">
        <v>225</v>
      </c>
      <c r="C198" s="28" t="s">
        <v>235</v>
      </c>
      <c r="D198" s="29" t="s">
        <v>4629</v>
      </c>
      <c r="E198" s="28" t="str">
        <f ca="1">IFERROR(__xludf.DUMMYFUNCTION("GOOGLETRANSLATE(D198)"),"Nuxt JS introductory definitive edition! From the basic framework Nuxt JS of Vue.js to the development of the SPA in conjunction with Firebase")</f>
        <v>Nuxt JS introductory definitive edition! From the basic framework Nuxt JS of Vue.js to the development of the SPA in conjunction with Firebase</v>
      </c>
      <c r="F198" s="28" t="s">
        <v>4428</v>
      </c>
      <c r="G198" s="30">
        <v>4.24</v>
      </c>
      <c r="H198" s="31">
        <v>4</v>
      </c>
      <c r="I198" s="28" t="s">
        <v>17</v>
      </c>
    </row>
    <row r="199" spans="1:9" ht="12.5">
      <c r="A199" s="28">
        <v>2216842</v>
      </c>
      <c r="B199" s="28" t="s">
        <v>864</v>
      </c>
      <c r="C199" s="28" t="s">
        <v>875</v>
      </c>
      <c r="D199" s="29" t="s">
        <v>4630</v>
      </c>
      <c r="E199" s="28" t="str">
        <f ca="1">IFERROR(__xludf.DUMMYFUNCTION("GOOGLETRANSLATE(D199)"),"[Faster, tell simple to] learn in PowerPoint logical presentation")</f>
        <v>[Faster, tell simple to] learn in PowerPoint logical presentation</v>
      </c>
      <c r="F199" s="28" t="s">
        <v>4439</v>
      </c>
      <c r="G199" s="30">
        <v>4.1399999999999997</v>
      </c>
      <c r="H199" s="31">
        <v>3.49</v>
      </c>
      <c r="I199" s="28" t="s">
        <v>17</v>
      </c>
    </row>
    <row r="200" spans="1:9" ht="12.5">
      <c r="A200" s="27">
        <v>2230122</v>
      </c>
      <c r="B200" s="28" t="s">
        <v>864</v>
      </c>
      <c r="C200" s="28" t="s">
        <v>865</v>
      </c>
      <c r="D200" s="29" t="s">
        <v>4631</v>
      </c>
      <c r="E200" s="28" t="str">
        <f ca="1">IFERROR(__xludf.DUMMYFUNCTION("GOOGLETRANSLATE(D200)"),"Excel VBA [4th] a large amount book and mass sheet Operation! 50 pieces of macro 3-hour lecture that once data collection an Excel workbook")</f>
        <v>Excel VBA [4th] a large amount book and mass sheet Operation! 50 pieces of macro 3-hour lecture that once data collection an Excel workbook</v>
      </c>
      <c r="F200" s="28" t="s">
        <v>4366</v>
      </c>
      <c r="G200" s="30">
        <v>4.59</v>
      </c>
      <c r="H200" s="31">
        <v>2.86</v>
      </c>
      <c r="I200" s="28" t="s">
        <v>72</v>
      </c>
    </row>
    <row r="201" spans="1:9" ht="12.5">
      <c r="A201" s="28">
        <v>2230314</v>
      </c>
      <c r="B201" s="28" t="s">
        <v>225</v>
      </c>
      <c r="C201" s="28" t="s">
        <v>226</v>
      </c>
      <c r="D201" s="29" t="s">
        <v>4632</v>
      </c>
      <c r="E201" s="28" t="str">
        <f ca="1">IFERROR(__xludf.DUMMYFUNCTION("GOOGLETRANSLATE(D201)"),"Python drone programming for the inexperienced person to teach the active Silicon Valley engineers")</f>
        <v>Python drone programming for the inexperienced person to teach the active Silicon Valley engineers</v>
      </c>
      <c r="F201" s="28" t="s">
        <v>4424</v>
      </c>
      <c r="G201" s="30">
        <v>4.5199999999999996</v>
      </c>
      <c r="H201" s="31">
        <v>5.89</v>
      </c>
      <c r="I201" s="28" t="s">
        <v>17</v>
      </c>
    </row>
    <row r="202" spans="1:9" ht="12.5">
      <c r="A202" s="27">
        <v>2230432</v>
      </c>
      <c r="B202" s="28" t="s">
        <v>31</v>
      </c>
      <c r="C202" s="28" t="s">
        <v>32</v>
      </c>
      <c r="D202" s="29" t="s">
        <v>4633</v>
      </c>
      <c r="E202" s="28" t="str">
        <f ca="1">IFERROR(__xludf.DUMMYFUNCTION("GOOGLETRANSLATE(D202)"),"[Practiced in YOLO v3] object detection Introduction to deep learning")</f>
        <v>[Practiced in YOLO v3] object detection Introduction to deep learning</v>
      </c>
      <c r="F202" s="28" t="s">
        <v>4377</v>
      </c>
      <c r="G202" s="30">
        <v>4.13</v>
      </c>
      <c r="H202" s="31">
        <v>1.22</v>
      </c>
      <c r="I202" s="28" t="s">
        <v>21</v>
      </c>
    </row>
    <row r="203" spans="1:9" ht="12.5">
      <c r="A203" s="27">
        <v>2231940</v>
      </c>
      <c r="B203" s="28" t="s">
        <v>225</v>
      </c>
      <c r="C203" s="28" t="s">
        <v>226</v>
      </c>
      <c r="D203" s="29" t="s">
        <v>4634</v>
      </c>
      <c r="E203" s="28" t="str">
        <f ca="1">IFERROR(__xludf.DUMMYFUNCTION("GOOGLETRANSLATE(D203)"),"Single-page application to make in Vue.js + Firebase")</f>
        <v>Single-page application to make in Vue.js + Firebase</v>
      </c>
      <c r="F203" s="28" t="s">
        <v>4484</v>
      </c>
      <c r="G203" s="30">
        <v>4.07</v>
      </c>
      <c r="H203" s="31">
        <v>4.95</v>
      </c>
      <c r="I203" s="28" t="s">
        <v>21</v>
      </c>
    </row>
    <row r="204" spans="1:9" ht="12.5">
      <c r="A204" s="28">
        <v>2234642</v>
      </c>
      <c r="B204" s="28" t="s">
        <v>31</v>
      </c>
      <c r="C204" s="28" t="s">
        <v>1161</v>
      </c>
      <c r="D204" s="29" t="s">
        <v>4635</v>
      </c>
      <c r="E204" s="28" t="str">
        <f ca="1">IFERROR(__xludf.DUMMYFUNCTION("GOOGLETRANSLATE(D204)"),"[Get to learn the basics of SQL data extracted with a polite explanation + exercises] SQL · database super Introduction to learn in 3 hours standard SQL")</f>
        <v>[Get to learn the basics of SQL data extracted with a polite explanation + exercises] SQL · database super Introduction to learn in 3 hours standard SQL</v>
      </c>
      <c r="F204" s="28" t="s">
        <v>4636</v>
      </c>
      <c r="G204" s="30">
        <v>4.3899999999999997</v>
      </c>
      <c r="H204" s="31">
        <v>2.7</v>
      </c>
      <c r="I204" s="28" t="s">
        <v>17</v>
      </c>
    </row>
    <row r="205" spans="1:9" ht="12.5">
      <c r="A205" s="27">
        <v>2234646</v>
      </c>
      <c r="B205" s="28" t="s">
        <v>225</v>
      </c>
      <c r="C205" s="28" t="s">
        <v>288</v>
      </c>
      <c r="D205" s="29" t="s">
        <v>4637</v>
      </c>
      <c r="E205" s="28" t="str">
        <f ca="1">IFERROR(__xludf.DUMMYFUNCTION("GOOGLETRANSLATE(D205)"),"[Lesson in easy-to-understand explanation + familiar theme] for the first time of the table design and database design")</f>
        <v>[Lesson in easy-to-understand explanation + familiar theme] for the first time of the table design and database design</v>
      </c>
      <c r="F205" s="28" t="s">
        <v>4636</v>
      </c>
      <c r="G205" s="30">
        <v>3.89</v>
      </c>
      <c r="H205" s="31">
        <v>1.02</v>
      </c>
      <c r="I205" s="28" t="s">
        <v>17</v>
      </c>
    </row>
    <row r="206" spans="1:9" ht="12.5">
      <c r="A206" s="27">
        <v>2248020</v>
      </c>
      <c r="B206" s="28" t="s">
        <v>557</v>
      </c>
      <c r="C206" s="28" t="s">
        <v>1565</v>
      </c>
      <c r="D206" s="29" t="s">
        <v>4638</v>
      </c>
      <c r="E206" s="28" t="str">
        <f ca="1">IFERROR(__xludf.DUMMYFUNCTION("GOOGLETRANSLATE(D206)"),"Learn and crispy in 1 hour! ""Help in the field"" accounting knowledge for those who are not in the accounting profession")</f>
        <v>Learn and crispy in 1 hour! "Help in the field" accounting knowledge for those who are not in the accounting profession</v>
      </c>
      <c r="F206" s="28" t="s">
        <v>4541</v>
      </c>
      <c r="G206" s="30">
        <v>3.97</v>
      </c>
      <c r="H206" s="31">
        <v>1.36</v>
      </c>
      <c r="I206" s="28" t="s">
        <v>17</v>
      </c>
    </row>
    <row r="207" spans="1:9" ht="12.5">
      <c r="A207" s="27">
        <v>2258932</v>
      </c>
      <c r="B207" s="28" t="s">
        <v>864</v>
      </c>
      <c r="C207" s="28" t="s">
        <v>865</v>
      </c>
      <c r="D207" s="29" t="s">
        <v>4639</v>
      </c>
      <c r="E207" s="28" t="str">
        <f ca="1">IFERROR(__xludf.DUMMYFUNCTION("GOOGLETRANSLATE(D207)"),"Seen in Excel VBA [0-th series] game, two hours lecture to realize the ""fun!"" While macro VBA programming ultra Introduction to make -")</f>
        <v>Seen in Excel VBA [0-th series] game, two hours lecture to realize the "fun!" While macro VBA programming ultra Introduction to make -</v>
      </c>
      <c r="F207" s="28" t="s">
        <v>4366</v>
      </c>
      <c r="G207" s="30">
        <v>4.22</v>
      </c>
      <c r="H207" s="31">
        <v>2.12</v>
      </c>
      <c r="I207" s="28" t="s">
        <v>17</v>
      </c>
    </row>
    <row r="208" spans="1:9" ht="12.5">
      <c r="A208" s="27">
        <v>2262196</v>
      </c>
      <c r="B208" s="28" t="s">
        <v>225</v>
      </c>
      <c r="C208" s="28" t="s">
        <v>226</v>
      </c>
      <c r="D208" s="29" t="s">
        <v>4640</v>
      </c>
      <c r="E208" s="28" t="str">
        <f ca="1">IFERROR(__xludf.DUMMYFUNCTION("GOOGLETRANSLATE(D208)"),"Teachers, students and new society towards! Programming ultra Introduction to become a human resources competitive AI to learn from scratch")</f>
        <v>Teachers, students and new society towards! Programming ultra Introduction to become a human resources competitive AI to learn from scratch</v>
      </c>
      <c r="F208" s="28" t="s">
        <v>4560</v>
      </c>
      <c r="G208" s="30">
        <v>4.55</v>
      </c>
      <c r="H208" s="31">
        <v>2.31</v>
      </c>
      <c r="I208" s="28" t="s">
        <v>17</v>
      </c>
    </row>
    <row r="209" spans="1:9" ht="12.5">
      <c r="A209" s="28">
        <v>2265174</v>
      </c>
      <c r="B209" s="28" t="s">
        <v>768</v>
      </c>
      <c r="C209" s="28" t="s">
        <v>827</v>
      </c>
      <c r="D209" s="29" t="s">
        <v>4641</v>
      </c>
      <c r="E209" s="28" t="str">
        <f ca="1">IFERROR(__xludf.DUMMYFUNCTION("GOOGLETRANSLATE(D209)"),"The numbers thinking to study in EXCEL and marketing analysis [introductory] learn the concepts and techniques for analysis, so that it is practical analysis!")</f>
        <v>The numbers thinking to study in EXCEL and marketing analysis [introductory] learn the concepts and techniques for analysis, so that it is practical analysis!</v>
      </c>
      <c r="F209" s="28" t="s">
        <v>4642</v>
      </c>
      <c r="G209" s="30">
        <v>4.2699999999999996</v>
      </c>
      <c r="H209" s="31">
        <v>2.91</v>
      </c>
      <c r="I209" s="28" t="s">
        <v>17</v>
      </c>
    </row>
    <row r="210" spans="1:9" ht="12.5">
      <c r="A210" s="27">
        <v>2267342</v>
      </c>
      <c r="B210" s="28" t="s">
        <v>225</v>
      </c>
      <c r="C210" s="28" t="s">
        <v>235</v>
      </c>
      <c r="D210" s="29" t="s">
        <v>4643</v>
      </c>
      <c r="E210" s="28" t="str">
        <f ca="1">IFERROR(__xludf.DUMMYFUNCTION("GOOGLETRANSLATE(D210)"),"Use the Spring Introduction ~ SpringBoot 2 make an inquiry apps and ToDo app -")</f>
        <v>Use the Spring Introduction ~ SpringBoot 2 make an inquiry apps and ToDo app -</v>
      </c>
      <c r="F210" s="28" t="s">
        <v>4644</v>
      </c>
      <c r="G210" s="30">
        <v>4.18</v>
      </c>
      <c r="H210" s="31">
        <v>7.56</v>
      </c>
      <c r="I210" s="28" t="s">
        <v>72</v>
      </c>
    </row>
    <row r="211" spans="1:9" ht="12.5">
      <c r="A211" s="28">
        <v>2276005</v>
      </c>
      <c r="B211" s="28" t="s">
        <v>225</v>
      </c>
      <c r="C211" s="28" t="s">
        <v>235</v>
      </c>
      <c r="D211" s="29" t="s">
        <v>4645</v>
      </c>
      <c r="E211" s="28" t="str">
        <f ca="1">IFERROR(__xludf.DUMMYFUNCTION("GOOGLETRANSLATE(D211)"),"[Start with Angular11 and Node.js! ] JavaScript-based WEB application development Complete Guide ①")</f>
        <v>[Start with Angular11 and Node.js! ] JavaScript-based WEB application development Complete Guide ①</v>
      </c>
      <c r="F211" s="28" t="s">
        <v>4646</v>
      </c>
      <c r="G211" s="30">
        <v>4.26</v>
      </c>
      <c r="H211" s="31">
        <v>8.65</v>
      </c>
      <c r="I211" s="28" t="s">
        <v>72</v>
      </c>
    </row>
    <row r="212" spans="1:9" ht="12.5">
      <c r="A212" s="28">
        <v>2277141</v>
      </c>
      <c r="B212" s="28" t="s">
        <v>1066</v>
      </c>
      <c r="C212" s="28" t="s">
        <v>1067</v>
      </c>
      <c r="D212" s="29" t="s">
        <v>4647</v>
      </c>
      <c r="E212" s="28" t="str">
        <f ca="1">IFERROR(__xludf.DUMMYFUNCTION("GOOGLETRANSLATE(D212)"),"[Beginners] seen in 2 hours! Sales talk to advance surely negotiation 50 election")</f>
        <v>[Beginners] seen in 2 hours! Sales talk to advance surely negotiation 50 election</v>
      </c>
      <c r="F212" s="28" t="s">
        <v>4648</v>
      </c>
      <c r="G212" s="30">
        <v>4.1100000000000003</v>
      </c>
      <c r="H212" s="31">
        <v>1.66</v>
      </c>
      <c r="I212" s="28" t="s">
        <v>17</v>
      </c>
    </row>
    <row r="213" spans="1:9" ht="12.5">
      <c r="A213" s="28">
        <v>2290175</v>
      </c>
      <c r="B213" s="28" t="s">
        <v>225</v>
      </c>
      <c r="C213" s="28" t="s">
        <v>226</v>
      </c>
      <c r="D213" s="29" t="s">
        <v>4649</v>
      </c>
      <c r="E213" s="28" t="str">
        <f ca="1">IFERROR(__xludf.DUMMYFUNCTION("GOOGLETRANSLATE(D213)"),"Go Introduction + drone programming to teach the active Silicon Valley engineers")</f>
        <v>Go Introduction + drone programming to teach the active Silicon Valley engineers</v>
      </c>
      <c r="F213" s="28" t="s">
        <v>4424</v>
      </c>
      <c r="G213" s="30">
        <v>4.8099999999999996</v>
      </c>
      <c r="H213" s="31">
        <v>11.14</v>
      </c>
      <c r="I213" s="28" t="s">
        <v>17</v>
      </c>
    </row>
    <row r="214" spans="1:9" ht="12.5">
      <c r="A214" s="28">
        <v>2290835</v>
      </c>
      <c r="B214" s="28" t="s">
        <v>225</v>
      </c>
      <c r="C214" s="28" t="s">
        <v>226</v>
      </c>
      <c r="D214" s="29" t="s">
        <v>4650</v>
      </c>
      <c r="E214" s="28" t="str">
        <f ca="1">IFERROR(__xludf.DUMMYFUNCTION("GOOGLETRANSLATE(D214)"),"[Thorough explanation! With master Django's foundation, trying to make the three app! (Django2 edition / 3 version is in co-publish)")</f>
        <v>[Thorough explanation! With master Django's foundation, trying to make the three app! (Django2 edition / 3 version is in co-publish)</v>
      </c>
      <c r="F214" s="28" t="s">
        <v>4651</v>
      </c>
      <c r="G214" s="30">
        <v>4.41</v>
      </c>
      <c r="H214" s="31">
        <v>19.12</v>
      </c>
      <c r="I214" s="28" t="s">
        <v>17</v>
      </c>
    </row>
    <row r="215" spans="1:9" ht="12.5">
      <c r="A215" s="28">
        <v>2293021</v>
      </c>
      <c r="B215" s="28" t="s">
        <v>225</v>
      </c>
      <c r="C215" s="28" t="s">
        <v>226</v>
      </c>
      <c r="D215" s="29" t="s">
        <v>4652</v>
      </c>
      <c r="E215" s="28" t="str">
        <f ca="1">IFERROR(__xludf.DUMMYFUNCTION("GOOGLETRANSLATE(D215)"),"The [business people must see] basic and simple linear regression analysis of machine learning logically studied at the junior high school mathematics, perform a multiple regression analysis in Python")</f>
        <v>The [business people must see] basic and simple linear regression analysis of machine learning logically studied at the junior high school mathematics, perform a multiple regression analysis in Python</v>
      </c>
      <c r="F215" s="28" t="s">
        <v>4517</v>
      </c>
      <c r="G215" s="30">
        <v>4.08</v>
      </c>
      <c r="H215" s="31">
        <v>3.14</v>
      </c>
      <c r="I215" s="28" t="s">
        <v>17</v>
      </c>
    </row>
    <row r="216" spans="1:9" ht="12.5">
      <c r="A216" s="28">
        <v>2301224</v>
      </c>
      <c r="B216" s="28" t="s">
        <v>225</v>
      </c>
      <c r="C216" s="28" t="s">
        <v>288</v>
      </c>
      <c r="D216" s="29" t="s">
        <v>4653</v>
      </c>
      <c r="E216" s="28" t="str">
        <f ca="1">IFERROR(__xludf.DUMMYFUNCTION("GOOGLETRANSLATE(D216)"),"First block chain")</f>
        <v>First block chain</v>
      </c>
      <c r="F216" s="28" t="s">
        <v>4419</v>
      </c>
      <c r="G216" s="30">
        <v>4.22</v>
      </c>
      <c r="H216" s="31">
        <v>1.4</v>
      </c>
      <c r="I216" s="28" t="s">
        <v>17</v>
      </c>
    </row>
    <row r="217" spans="1:9" ht="12.5">
      <c r="A217" s="28">
        <v>2301814</v>
      </c>
      <c r="B217" s="28" t="s">
        <v>225</v>
      </c>
      <c r="C217" s="28" t="s">
        <v>226</v>
      </c>
      <c r="D217" s="29" t="s">
        <v>4654</v>
      </c>
      <c r="E217" s="28" t="str">
        <f ca="1">IFERROR(__xludf.DUMMYFUNCTION("GOOGLETRANSLATE(D217)"),"The order in which to study C #")</f>
        <v>The order in which to study C #</v>
      </c>
      <c r="F217" s="28" t="s">
        <v>4582</v>
      </c>
      <c r="G217" s="30">
        <v>4.46</v>
      </c>
      <c r="H217" s="31">
        <v>0.81</v>
      </c>
      <c r="I217" s="28" t="s">
        <v>21</v>
      </c>
    </row>
    <row r="218" spans="1:9" ht="12.5">
      <c r="A218" s="27">
        <v>2306248</v>
      </c>
      <c r="B218" s="28" t="s">
        <v>672</v>
      </c>
      <c r="C218" s="28" t="s">
        <v>695</v>
      </c>
      <c r="D218" s="28" t="s">
        <v>4655</v>
      </c>
      <c r="E218" s="28" t="str">
        <f ca="1">IFERROR(__xludf.DUMMYFUNCTION("GOOGLETRANSLATE(D218)"),"The first time of AI")</f>
        <v>The first time of AI</v>
      </c>
      <c r="F218" s="28" t="s">
        <v>4656</v>
      </c>
      <c r="G218" s="30">
        <v>4.2300000000000004</v>
      </c>
      <c r="H218" s="31">
        <v>0.9</v>
      </c>
      <c r="I218" s="28" t="s">
        <v>17</v>
      </c>
    </row>
    <row r="219" spans="1:9" ht="12.5">
      <c r="A219" s="27">
        <v>2306314</v>
      </c>
      <c r="B219" s="28" t="s">
        <v>672</v>
      </c>
      <c r="C219" s="28" t="s">
        <v>695</v>
      </c>
      <c r="D219" s="29" t="s">
        <v>4657</v>
      </c>
      <c r="E219" s="28" t="str">
        <f ca="1">IFERROR(__xludf.DUMMYFUNCTION("GOOGLETRANSLATE(D219)"),"The first time of digital marketing")</f>
        <v>The first time of digital marketing</v>
      </c>
      <c r="F219" s="28" t="s">
        <v>4656</v>
      </c>
      <c r="G219" s="30">
        <v>4</v>
      </c>
      <c r="H219" s="31">
        <v>0.89</v>
      </c>
      <c r="I219" s="28" t="s">
        <v>17</v>
      </c>
    </row>
    <row r="220" spans="1:9" ht="12.5">
      <c r="A220" s="28">
        <v>2307940</v>
      </c>
      <c r="B220" s="28" t="s">
        <v>864</v>
      </c>
      <c r="C220" s="28" t="s">
        <v>899</v>
      </c>
      <c r="D220" s="29" t="s">
        <v>4658</v>
      </c>
      <c r="E220" s="28" t="str">
        <f ca="1">IFERROR(__xludf.DUMMYFUNCTION("GOOGLETRANSLATE(D220)"),"The first time of working styles reform")</f>
        <v>The first time of working styles reform</v>
      </c>
      <c r="F220" s="28" t="s">
        <v>4656</v>
      </c>
      <c r="G220" s="30">
        <v>4.04</v>
      </c>
      <c r="H220" s="31">
        <v>1.1200000000000001</v>
      </c>
      <c r="I220" s="28" t="s">
        <v>17</v>
      </c>
    </row>
    <row r="221" spans="1:9" ht="12.5">
      <c r="A221" s="28">
        <v>2309390</v>
      </c>
      <c r="B221" s="28" t="s">
        <v>225</v>
      </c>
      <c r="C221" s="28" t="s">
        <v>226</v>
      </c>
      <c r="D221" s="29" t="s">
        <v>4659</v>
      </c>
      <c r="E221" s="28" t="str">
        <f ca="1">IFERROR(__xludf.DUMMYFUNCTION("GOOGLETRANSLATE(D221)"),"Web Scraping ~Web application Hen I Am according to the Python ~")</f>
        <v>Web Scraping ~Web application Hen I Am according to the Python ~</v>
      </c>
      <c r="F221" s="28" t="s">
        <v>4600</v>
      </c>
      <c r="G221" s="30">
        <v>4.37</v>
      </c>
      <c r="H221" s="31">
        <v>4.58</v>
      </c>
      <c r="I221" s="28" t="s">
        <v>72</v>
      </c>
    </row>
    <row r="222" spans="1:9" ht="12.5">
      <c r="A222" s="27">
        <v>2309406</v>
      </c>
      <c r="B222" s="28" t="s">
        <v>225</v>
      </c>
      <c r="C222" s="28" t="s">
        <v>226</v>
      </c>
      <c r="D222" s="29" t="s">
        <v>4660</v>
      </c>
      <c r="E222" s="28" t="str">
        <f ca="1">IFERROR(__xludf.DUMMYFUNCTION("GOOGLETRANSLATE(D222)"),"How to test-driven development [TDD] in C #")</f>
        <v>How to test-driven development [TDD] in C #</v>
      </c>
      <c r="F222" s="28" t="s">
        <v>4582</v>
      </c>
      <c r="G222" s="30">
        <v>4.47</v>
      </c>
      <c r="H222" s="31">
        <v>1.41</v>
      </c>
      <c r="I222" s="28" t="s">
        <v>21</v>
      </c>
    </row>
    <row r="223" spans="1:9" ht="12.5">
      <c r="A223" s="28">
        <v>2312418</v>
      </c>
      <c r="B223" s="28" t="s">
        <v>225</v>
      </c>
      <c r="C223" s="28" t="s">
        <v>226</v>
      </c>
      <c r="D223" s="29" t="s">
        <v>4661</v>
      </c>
      <c r="E223" s="28" t="str">
        <f ca="1">IFERROR(__xludf.DUMMYFUNCTION("GOOGLETRANSLATE(D223)"),"How to make asynchronous programming in C #")</f>
        <v>How to make asynchronous programming in C #</v>
      </c>
      <c r="F223" s="28" t="s">
        <v>4582</v>
      </c>
      <c r="G223" s="30">
        <v>4.29</v>
      </c>
      <c r="H223" s="31">
        <v>0.85</v>
      </c>
      <c r="I223" s="28" t="s">
        <v>21</v>
      </c>
    </row>
    <row r="224" spans="1:9" ht="12.5">
      <c r="A224" s="28">
        <v>2316068</v>
      </c>
      <c r="B224" s="28" t="s">
        <v>31</v>
      </c>
      <c r="C224" s="28" t="s">
        <v>32</v>
      </c>
      <c r="D224" s="29" t="s">
        <v>4662</v>
      </c>
      <c r="E224" s="28" t="str">
        <f ca="1">IFERROR(__xludf.DUMMYFUNCTION("GOOGLETRANSLATE(D224)"),"Brain science and artificial intelligence: in the eve Singularity, of human and mechanical contacts")</f>
        <v>Brain science and artificial intelligence: in the eve Singularity, of human and mechanical contacts</v>
      </c>
      <c r="F224" s="28" t="s">
        <v>4410</v>
      </c>
      <c r="G224" s="30">
        <v>4.0599999999999996</v>
      </c>
      <c r="H224" s="31">
        <v>2.8</v>
      </c>
      <c r="I224" s="28" t="s">
        <v>17</v>
      </c>
    </row>
    <row r="225" spans="1:9" ht="12.5">
      <c r="A225" s="27">
        <v>2317370</v>
      </c>
      <c r="B225" s="28" t="s">
        <v>225</v>
      </c>
      <c r="C225" s="28" t="s">
        <v>226</v>
      </c>
      <c r="D225" s="29" t="s">
        <v>4663</v>
      </c>
      <c r="E225" s="28" t="str">
        <f ca="1">IFERROR(__xludf.DUMMYFUNCTION("GOOGLETRANSLATE(D225)"),"C # language to get to learn in a week")</f>
        <v>C # language to get to learn in a week</v>
      </c>
      <c r="F225" s="28" t="s">
        <v>4481</v>
      </c>
      <c r="G225" s="30">
        <v>4.24</v>
      </c>
      <c r="H225" s="31">
        <v>12.15</v>
      </c>
      <c r="I225" s="28" t="s">
        <v>17</v>
      </c>
    </row>
    <row r="226" spans="1:9" ht="12.5">
      <c r="A226" s="28">
        <v>2325734</v>
      </c>
      <c r="B226" s="28" t="s">
        <v>31</v>
      </c>
      <c r="C226" s="28" t="s">
        <v>93</v>
      </c>
      <c r="D226" s="29" t="s">
        <v>4664</v>
      </c>
      <c r="E226" s="28" t="str">
        <f ca="1">IFERROR(__xludf.DUMMYFUNCTION("GOOGLETRANSLATE(D226)"),"Microsoft Power BI - Power BI Desktop introductory course")</f>
        <v>Microsoft Power BI - Power BI Desktop introductory course</v>
      </c>
      <c r="F226" s="28" t="s">
        <v>4541</v>
      </c>
      <c r="G226" s="30">
        <v>4.34</v>
      </c>
      <c r="H226" s="31">
        <v>2.85</v>
      </c>
      <c r="I226" s="28" t="s">
        <v>17</v>
      </c>
    </row>
    <row r="227" spans="1:9" ht="12.5">
      <c r="A227" s="28">
        <v>2325976</v>
      </c>
      <c r="B227" s="28" t="s">
        <v>597</v>
      </c>
      <c r="C227" s="28" t="s">
        <v>601</v>
      </c>
      <c r="D227" s="29" t="s">
        <v>4665</v>
      </c>
      <c r="E227" s="28" t="str">
        <f ca="1">IFERROR(__xludf.DUMMYFUNCTION("GOOGLETRANSLATE(D227)"),"[SAA-C02 Edition] AWS Certified Solutions Architect Associate practice exam collection of problems (6 times 390 questions)")</f>
        <v>[SAA-C02 Edition] AWS Certified Solutions Architect Associate practice exam collection of problems (6 times 390 questions)</v>
      </c>
      <c r="F227" s="28" t="s">
        <v>4627</v>
      </c>
      <c r="G227" s="30">
        <v>4.16</v>
      </c>
      <c r="H227" s="31"/>
      <c r="I227" s="28" t="s">
        <v>17</v>
      </c>
    </row>
    <row r="228" spans="1:9" ht="12.5">
      <c r="A228" s="28">
        <v>2329814</v>
      </c>
      <c r="B228" s="28" t="s">
        <v>225</v>
      </c>
      <c r="C228" s="28" t="s">
        <v>235</v>
      </c>
      <c r="D228" s="29" t="s">
        <v>4666</v>
      </c>
      <c r="E228" s="28" t="str">
        <f ca="1">IFERROR(__xludf.DUMMYFUNCTION("GOOGLETRANSLATE(D228)"),"[Hamushiki] React Hooks Getting Started - a combination of the Hooks and Redux learn the latest front-end state management techniques")</f>
        <v>[Hamushiki] React Hooks Getting Started - a combination of the Hooks and Redux learn the latest front-end state management techniques</v>
      </c>
      <c r="F228" s="28" t="s">
        <v>4500</v>
      </c>
      <c r="G228" s="30">
        <v>4.54</v>
      </c>
      <c r="H228" s="31">
        <v>8.91</v>
      </c>
      <c r="I228" s="28" t="s">
        <v>21</v>
      </c>
    </row>
    <row r="229" spans="1:9" ht="12.5">
      <c r="A229" s="28">
        <v>2330352</v>
      </c>
      <c r="B229" s="28" t="s">
        <v>225</v>
      </c>
      <c r="C229" s="28" t="s">
        <v>226</v>
      </c>
      <c r="D229" s="29" t="s">
        <v>4667</v>
      </c>
      <c r="E229" s="28" t="str">
        <f ca="1">IFERROR(__xludf.DUMMYFUNCTION("GOOGLETRANSLATE(D229)"),"[How to make high maintenance programming by using a domain-driven development and test-driven development in C #] C # in the domain-driven development Part 1")</f>
        <v>[How to make high maintenance programming by using a domain-driven development and test-driven development in C #] C # in the domain-driven development Part 1</v>
      </c>
      <c r="F229" s="28" t="s">
        <v>4582</v>
      </c>
      <c r="G229" s="30">
        <v>4.45</v>
      </c>
      <c r="H229" s="31">
        <v>6.18</v>
      </c>
      <c r="I229" s="28" t="s">
        <v>21</v>
      </c>
    </row>
    <row r="230" spans="1:9" ht="12.5">
      <c r="A230" s="28">
        <v>2331992</v>
      </c>
      <c r="B230" s="28" t="s">
        <v>225</v>
      </c>
      <c r="C230" s="28" t="s">
        <v>229</v>
      </c>
      <c r="D230" s="29" t="s">
        <v>4668</v>
      </c>
      <c r="E230" s="28" t="str">
        <f ca="1">IFERROR(__xludf.DUMMYFUNCTION("GOOGLETRANSLATE(D230)"),"Web application practice course that you build in Docker + Kubernetes")</f>
        <v>Web application practice course that you build in Docker + Kubernetes</v>
      </c>
      <c r="F230" s="28" t="s">
        <v>4448</v>
      </c>
      <c r="G230" s="30">
        <v>4.16</v>
      </c>
      <c r="H230" s="31">
        <v>6.24</v>
      </c>
      <c r="I230" s="28" t="s">
        <v>72</v>
      </c>
    </row>
    <row r="231" spans="1:9" ht="12.5">
      <c r="A231" s="27">
        <v>2337862</v>
      </c>
      <c r="B231" s="28" t="s">
        <v>864</v>
      </c>
      <c r="C231" s="28" t="s">
        <v>865</v>
      </c>
      <c r="D231" s="29" t="s">
        <v>4669</v>
      </c>
      <c r="E231" s="28" t="str">
        <f ca="1">IFERROR(__xludf.DUMMYFUNCTION("GOOGLETRANSLATE(D231)"),"Macro formula-function ""Flame of the book"" to the unnecessary of Excel automation surgery to advanced users [date, conditional formatting, validation, data aggregation, string manipulation]")</f>
        <v>Macro formula-function "Flame of the book" to the unnecessary of Excel automation surgery to advanced users [date, conditional formatting, validation, data aggregation, string manipulation]</v>
      </c>
      <c r="F231" s="28" t="s">
        <v>4366</v>
      </c>
      <c r="G231" s="30">
        <v>4.5199999999999996</v>
      </c>
      <c r="H231" s="31">
        <v>4.1100000000000003</v>
      </c>
      <c r="I231" s="28" t="s">
        <v>259</v>
      </c>
    </row>
    <row r="232" spans="1:9" ht="12.5">
      <c r="A232" s="28">
        <v>2340972</v>
      </c>
      <c r="B232" s="28" t="s">
        <v>225</v>
      </c>
      <c r="C232" s="28" t="s">
        <v>278</v>
      </c>
      <c r="D232" s="29" t="s">
        <v>4670</v>
      </c>
      <c r="E232" s="28" t="str">
        <f ca="1">IFERROR(__xludf.DUMMYFUNCTION("GOOGLETRANSLATE(D232)"),"React Native Introduction: Let memorize while making a news app / Hooks corresponding 2020 edition")</f>
        <v>React Native Introduction: Let memorize while making a news app / Hooks corresponding 2020 edition</v>
      </c>
      <c r="F232" s="28" t="s">
        <v>4671</v>
      </c>
      <c r="G232" s="30">
        <v>4.53</v>
      </c>
      <c r="H232" s="31">
        <v>6.02</v>
      </c>
      <c r="I232" s="28" t="s">
        <v>17</v>
      </c>
    </row>
    <row r="233" spans="1:9" ht="12.5">
      <c r="A233" s="28">
        <v>2348438</v>
      </c>
      <c r="B233" s="28" t="s">
        <v>768</v>
      </c>
      <c r="C233" s="28" t="s">
        <v>776</v>
      </c>
      <c r="D233" s="29" t="s">
        <v>4672</v>
      </c>
      <c r="E233" s="28" t="str">
        <f ca="1">IFERROR(__xludf.DUMMYFUNCTION("GOOGLETRANSLATE(D233)"),"[Learn from the global business case] marketing strategy Introduction (Japanese Subtitled)")</f>
        <v>[Learn from the global business case] marketing strategy Introduction (Japanese Subtitled)</v>
      </c>
      <c r="F233" s="28" t="s">
        <v>4353</v>
      </c>
      <c r="G233" s="30">
        <v>4.13</v>
      </c>
      <c r="H233" s="31">
        <v>2.08</v>
      </c>
      <c r="I233" s="28" t="s">
        <v>21</v>
      </c>
    </row>
    <row r="234" spans="1:9" ht="12.5">
      <c r="A234" s="27">
        <v>2354328</v>
      </c>
      <c r="B234" s="28" t="s">
        <v>102</v>
      </c>
      <c r="C234" s="28" t="s">
        <v>116</v>
      </c>
      <c r="D234" s="29" t="s">
        <v>4673</v>
      </c>
      <c r="E234" s="28" t="str">
        <f ca="1">IFERROR(__xludf.DUMMYFUNCTION("GOOGLETRANSLATE(D234)"),"The latest course Photoshop video and complete master beginner all of Photoshop in the exercise of CC 23 hours is aimed at professional")</f>
        <v>The latest course Photoshop video and complete master beginner all of Photoshop in the exercise of CC 23 hours is aimed at professional</v>
      </c>
      <c r="F234" s="28" t="s">
        <v>4674</v>
      </c>
      <c r="G234" s="30">
        <v>4.28</v>
      </c>
      <c r="H234" s="31">
        <v>22.85</v>
      </c>
      <c r="I234" s="28" t="s">
        <v>17</v>
      </c>
    </row>
    <row r="235" spans="1:9" ht="12.5">
      <c r="A235" s="28">
        <v>2357502</v>
      </c>
      <c r="B235" s="28" t="s">
        <v>31</v>
      </c>
      <c r="C235" s="28" t="s">
        <v>93</v>
      </c>
      <c r="D235" s="29" t="s">
        <v>4675</v>
      </c>
      <c r="E235" s="28" t="str">
        <f ca="1">IFERROR(__xludf.DUMMYFUNCTION("GOOGLETRANSLATE(D235)"),"[Continue] Microsoft Power BI Desktop - An Introduction ~ Power Query Editor Hen")</f>
        <v>[Continue] Microsoft Power BI Desktop - An Introduction ~ Power Query Editor Hen</v>
      </c>
      <c r="F235" s="28" t="s">
        <v>4541</v>
      </c>
      <c r="G235" s="30">
        <v>4.1399999999999997</v>
      </c>
      <c r="H235" s="31">
        <v>1.97</v>
      </c>
      <c r="I235" s="28" t="s">
        <v>17</v>
      </c>
    </row>
    <row r="236" spans="1:9" ht="12.5">
      <c r="A236" s="28">
        <v>2359590</v>
      </c>
      <c r="B236" s="28" t="s">
        <v>672</v>
      </c>
      <c r="C236" s="28" t="s">
        <v>673</v>
      </c>
      <c r="D236" s="29" t="s">
        <v>4676</v>
      </c>
      <c r="E236" s="28" t="str">
        <f ca="1">IFERROR(__xludf.DUMMYFUNCTION("GOOGLETRANSLATE(D236)"),"[5-minute opponent changes] describes the lecturer is the case with the coaching Beginner to reader support for more than 10 years of experience to nurture the members on the basis of -")</f>
        <v>[5-minute opponent changes] describes the lecturer is the case with the coaching Beginner to reader support for more than 10 years of experience to nurture the members on the basis of -</v>
      </c>
      <c r="F236" s="28" t="s">
        <v>4677</v>
      </c>
      <c r="G236" s="30">
        <v>4.08</v>
      </c>
      <c r="H236" s="31">
        <v>2.76</v>
      </c>
      <c r="I236" s="28" t="s">
        <v>21</v>
      </c>
    </row>
    <row r="237" spans="1:9" ht="12.5">
      <c r="A237" s="27">
        <v>2361020</v>
      </c>
      <c r="B237" s="28" t="s">
        <v>12</v>
      </c>
      <c r="C237" s="28" t="s">
        <v>2319</v>
      </c>
      <c r="D237" s="29" t="s">
        <v>4678</v>
      </c>
      <c r="E237" s="28" t="str">
        <f ca="1">IFERROR(__xludf.DUMMYFUNCTION("GOOGLETRANSLATE(D237)"),"AWS: Amazon Web Services to practice from zero. Learn the basics of infrastructure while moving the hand")</f>
        <v>AWS: Amazon Web Services to practice from zero. Learn the basics of infrastructure while moving the hand</v>
      </c>
      <c r="F237" s="28" t="s">
        <v>4419</v>
      </c>
      <c r="G237" s="30">
        <v>4.38</v>
      </c>
      <c r="H237" s="31">
        <v>11.02</v>
      </c>
      <c r="I237" s="28" t="s">
        <v>17</v>
      </c>
    </row>
    <row r="238" spans="1:9" ht="12.5">
      <c r="A238" s="28">
        <v>2365030</v>
      </c>
      <c r="B238" s="28" t="s">
        <v>31</v>
      </c>
      <c r="C238" s="28" t="s">
        <v>32</v>
      </c>
      <c r="D238" s="29" t="s">
        <v>4679</v>
      </c>
      <c r="E238" s="28" t="str">
        <f ca="1">IFERROR(__xludf.DUMMYFUNCTION("GOOGLETRANSLATE(D238)"),"[Image determination AI application development, Part 2] high precision AI application development by Django · TensorFlow · transfer learning")</f>
        <v>[Image determination AI application development, Part 2] high precision AI application development by Django · TensorFlow · transfer learning</v>
      </c>
      <c r="F238" s="28" t="s">
        <v>4377</v>
      </c>
      <c r="G238" s="30">
        <v>4.0599999999999996</v>
      </c>
      <c r="H238" s="31">
        <v>3.27</v>
      </c>
      <c r="I238" s="28" t="s">
        <v>21</v>
      </c>
    </row>
    <row r="239" spans="1:9" ht="12.5">
      <c r="A239" s="28">
        <v>2368850</v>
      </c>
      <c r="B239" s="28" t="s">
        <v>225</v>
      </c>
      <c r="C239" s="28" t="s">
        <v>226</v>
      </c>
      <c r="D239" s="29" t="s">
        <v>4680</v>
      </c>
      <c r="E239" s="28" t="str">
        <f ca="1">IFERROR(__xludf.DUMMYFUNCTION("GOOGLETRANSLATE(D239)"),"How to make object-oriented C #")</f>
        <v>How to make object-oriented C #</v>
      </c>
      <c r="F239" s="28" t="s">
        <v>4582</v>
      </c>
      <c r="G239" s="30">
        <v>4.46</v>
      </c>
      <c r="H239" s="31">
        <v>1.43</v>
      </c>
      <c r="I239" s="28" t="s">
        <v>17</v>
      </c>
    </row>
    <row r="240" spans="1:9" ht="12.5">
      <c r="A240" s="27">
        <v>2383764</v>
      </c>
      <c r="B240" s="28" t="s">
        <v>864</v>
      </c>
      <c r="C240" s="28" t="s">
        <v>865</v>
      </c>
      <c r="D240" s="29" t="s">
        <v>4681</v>
      </c>
      <c r="E240" s="28" t="str">
        <f ca="1">IFERROR(__xludf.DUMMYFUNCTION("GOOGLETRANSLATE(D240)"),"Excel VBA [5th] file output macro Hen! Auto output by dividing the book into another seat. CSV and PDF output, also printing automation!")</f>
        <v>Excel VBA [5th] file output macro Hen! Auto output by dividing the book into another seat. CSV and PDF output, also printing automation!</v>
      </c>
      <c r="F240" s="28" t="s">
        <v>4366</v>
      </c>
      <c r="G240" s="30">
        <v>4.5999999999999996</v>
      </c>
      <c r="H240" s="31">
        <v>3.4</v>
      </c>
      <c r="I240" s="28" t="s">
        <v>259</v>
      </c>
    </row>
    <row r="241" spans="1:9" ht="12.5">
      <c r="A241" s="28">
        <v>2389204</v>
      </c>
      <c r="B241" s="28" t="s">
        <v>1034</v>
      </c>
      <c r="C241" s="28" t="s">
        <v>1047</v>
      </c>
      <c r="D241" s="29" t="s">
        <v>4682</v>
      </c>
      <c r="E241" s="28" t="str">
        <f ca="1">IFERROR(__xludf.DUMMYFUNCTION("GOOGLETRANSLATE(D241)"),"Agile project management crash course")</f>
        <v>Agile project management crash course</v>
      </c>
      <c r="F241" s="28" t="s">
        <v>4683</v>
      </c>
      <c r="G241" s="30">
        <v>4</v>
      </c>
      <c r="H241" s="31">
        <v>1.1399999999999999</v>
      </c>
      <c r="I241" s="28" t="s">
        <v>17</v>
      </c>
    </row>
    <row r="242" spans="1:9" ht="12.5">
      <c r="A242" s="27">
        <v>2389206</v>
      </c>
      <c r="B242" s="28" t="s">
        <v>1034</v>
      </c>
      <c r="C242" s="28" t="s">
        <v>1047</v>
      </c>
      <c r="D242" s="29" t="s">
        <v>4684</v>
      </c>
      <c r="E242" s="28" t="str">
        <f ca="1">IFERROR(__xludf.DUMMYFUNCTION("GOOGLETRANSLATE(D242)"),"[Agile development] scrum Basic Course")</f>
        <v>[Agile development] scrum Basic Course</v>
      </c>
      <c r="F242" s="28" t="s">
        <v>4683</v>
      </c>
      <c r="G242" s="30">
        <v>4.26</v>
      </c>
      <c r="H242" s="31">
        <v>3.65</v>
      </c>
      <c r="I242" s="28" t="s">
        <v>17</v>
      </c>
    </row>
    <row r="243" spans="1:9" ht="12.5">
      <c r="A243" s="27">
        <v>2394060</v>
      </c>
      <c r="B243" s="28" t="s">
        <v>31</v>
      </c>
      <c r="C243" s="28" t="s">
        <v>93</v>
      </c>
      <c r="D243" s="29" t="s">
        <v>4685</v>
      </c>
      <c r="E243" s="28" t="str">
        <f ca="1">IFERROR(__xludf.DUMMYFUNCTION("GOOGLETRANSLATE(D243)"),"SQL data analysis Introduction for non-engineers to study in BigQuery")</f>
        <v>SQL data analysis Introduction for non-engineers to study in BigQuery</v>
      </c>
      <c r="F243" s="28" t="s">
        <v>4467</v>
      </c>
      <c r="G243" s="30">
        <v>4.32</v>
      </c>
      <c r="H243" s="31">
        <v>10.99</v>
      </c>
      <c r="I243" s="28" t="s">
        <v>17</v>
      </c>
    </row>
    <row r="244" spans="1:9" ht="12.5">
      <c r="A244" s="28">
        <v>2395224</v>
      </c>
      <c r="B244" s="28" t="s">
        <v>597</v>
      </c>
      <c r="C244" s="28" t="s">
        <v>601</v>
      </c>
      <c r="D244" s="29" t="s">
        <v>4686</v>
      </c>
      <c r="E244" s="28" t="str">
        <f ca="1">IFERROR(__xludf.DUMMYFUNCTION("GOOGLETRANSLATE(D244)"),"Course to learn Linux commands, shell scripts, database, network, security")</f>
        <v>Course to learn Linux commands, shell scripts, database, network, security</v>
      </c>
      <c r="F244" s="28" t="s">
        <v>4596</v>
      </c>
      <c r="G244" s="30">
        <v>4.2</v>
      </c>
      <c r="H244" s="31">
        <v>13.68</v>
      </c>
      <c r="I244" s="28" t="s">
        <v>17</v>
      </c>
    </row>
    <row r="245" spans="1:9" ht="12.5">
      <c r="A245" s="28">
        <v>2414888</v>
      </c>
      <c r="B245" s="28" t="s">
        <v>913</v>
      </c>
      <c r="C245" s="28" t="s">
        <v>914</v>
      </c>
      <c r="D245" s="29" t="s">
        <v>4687</v>
      </c>
      <c r="E245" s="28" t="str">
        <f ca="1">IFERROR(__xludf.DUMMYFUNCTION("GOOGLETRANSLATE(D245)"),"TOEIC L &amp; R test listening absolute cheats! Tanikei formula shadowing to make the English ear in 3 months")</f>
        <v>TOEIC L &amp; R test listening absolute cheats! Tanikei formula shadowing to make the English ear in 3 months</v>
      </c>
      <c r="F245" s="28" t="s">
        <v>4688</v>
      </c>
      <c r="G245" s="30">
        <v>4.09</v>
      </c>
      <c r="H245" s="31">
        <v>2.54</v>
      </c>
      <c r="I245" s="28" t="s">
        <v>21</v>
      </c>
    </row>
    <row r="246" spans="1:9" ht="12.5">
      <c r="A246" s="28">
        <v>2418440</v>
      </c>
      <c r="B246" s="28" t="s">
        <v>557</v>
      </c>
      <c r="C246" s="28" t="s">
        <v>565</v>
      </c>
      <c r="D246" s="29" t="s">
        <v>4689</v>
      </c>
      <c r="E246" s="28" t="str">
        <f ca="1">IFERROR(__xludf.DUMMYFUNCTION("GOOGLETRANSLATE(D246)"),"[From new business to IPO] start-up strategy and finance to study in Excel")</f>
        <v>[From new business to IPO] start-up strategy and finance to study in Excel</v>
      </c>
      <c r="F246" s="28" t="s">
        <v>4439</v>
      </c>
      <c r="G246" s="30">
        <v>4.43</v>
      </c>
      <c r="H246" s="31">
        <v>4.43</v>
      </c>
      <c r="I246" s="28" t="s">
        <v>72</v>
      </c>
    </row>
    <row r="247" spans="1:9" ht="12.5">
      <c r="A247" s="28">
        <v>2421448</v>
      </c>
      <c r="B247" s="28" t="s">
        <v>225</v>
      </c>
      <c r="C247" s="28" t="s">
        <v>226</v>
      </c>
      <c r="D247" s="29" t="s">
        <v>4690</v>
      </c>
      <c r="E247" s="28" t="str">
        <f ca="1">IFERROR(__xludf.DUMMYFUNCTION("GOOGLETRANSLATE(D247)"),"The first time of Python3. The basic skills from experience 0 to build a GUI application!")</f>
        <v>The first time of Python3. The basic skills from experience 0 to build a GUI application!</v>
      </c>
      <c r="F247" s="28" t="s">
        <v>4691</v>
      </c>
      <c r="G247" s="30">
        <v>4.16</v>
      </c>
      <c r="H247" s="31">
        <v>10.49</v>
      </c>
      <c r="I247" s="28" t="s">
        <v>17</v>
      </c>
    </row>
    <row r="248" spans="1:9" ht="12.5">
      <c r="A248" s="27">
        <v>2424658</v>
      </c>
      <c r="B248" s="28" t="s">
        <v>102</v>
      </c>
      <c r="C248" s="28" t="s">
        <v>116</v>
      </c>
      <c r="D248" s="29" t="s">
        <v>4692</v>
      </c>
      <c r="E248" s="28" t="str">
        <f ca="1">IFERROR(__xludf.DUMMYFUNCTION("GOOGLETRANSLATE(D248)"),"The basic master course of video editing in Adobe Premiere Pro Premiere Pro")</f>
        <v>The basic master course of video editing in Adobe Premiere Pro Premiere Pro</v>
      </c>
      <c r="F248" s="28" t="s">
        <v>4693</v>
      </c>
      <c r="G248" s="30">
        <v>4.22</v>
      </c>
      <c r="H248" s="31">
        <v>3</v>
      </c>
      <c r="I248" s="28" t="s">
        <v>21</v>
      </c>
    </row>
    <row r="249" spans="1:9" ht="12.5">
      <c r="A249" s="27">
        <v>2426224</v>
      </c>
      <c r="B249" s="28" t="s">
        <v>225</v>
      </c>
      <c r="C249" s="28" t="s">
        <v>226</v>
      </c>
      <c r="D249" s="29" t="s">
        <v>4694</v>
      </c>
      <c r="E249" s="28" t="str">
        <f ca="1">IFERROR(__xludf.DUMMYFUNCTION("GOOGLETRANSLATE(D249)"),"Ultra Vue.js 2 full pack (Vue Router, including Vuex)")</f>
        <v>Ultra Vue.js 2 full pack (Vue Router, including Vuex)</v>
      </c>
      <c r="F249" s="28" t="s">
        <v>4695</v>
      </c>
      <c r="G249" s="30">
        <v>4.29</v>
      </c>
      <c r="H249" s="31">
        <v>17.43</v>
      </c>
      <c r="I249" s="28" t="s">
        <v>21</v>
      </c>
    </row>
    <row r="250" spans="1:9" ht="12.5">
      <c r="A250" s="28">
        <v>2429488</v>
      </c>
      <c r="B250" s="28" t="s">
        <v>225</v>
      </c>
      <c r="C250" s="28" t="s">
        <v>235</v>
      </c>
      <c r="D250" s="29" t="s">
        <v>4696</v>
      </c>
      <c r="E250" s="28" t="str">
        <f ca="1">IFERROR(__xludf.DUMMYFUNCTION("GOOGLETRANSLATE(D250)"),"[Java programmers required] strongest of the framework, Spring. Environment, Thymeleaf screen creation, until the injection of dependency.")</f>
        <v>[Java programmers required] strongest of the framework, Spring. Environment, Thymeleaf screen creation, until the injection of dependency.</v>
      </c>
      <c r="F250" s="28" t="s">
        <v>4517</v>
      </c>
      <c r="G250" s="30">
        <v>3.91</v>
      </c>
      <c r="H250" s="31">
        <v>2.84</v>
      </c>
      <c r="I250" s="28" t="s">
        <v>17</v>
      </c>
    </row>
    <row r="251" spans="1:9" ht="12.5">
      <c r="A251" s="27">
        <v>2433622</v>
      </c>
      <c r="B251" s="28" t="s">
        <v>31</v>
      </c>
      <c r="C251" s="28" t="s">
        <v>93</v>
      </c>
      <c r="D251" s="29" t="s">
        <v>4697</v>
      </c>
      <c r="E251" s="28" t="str">
        <f ca="1">IFERROR(__xludf.DUMMYFUNCTION("GOOGLETRANSLATE(D251)"),"[Continue] Microsoft Power BI Desktop - An Introduction ~ Data Visualization Hen")</f>
        <v>[Continue] Microsoft Power BI Desktop - An Introduction ~ Data Visualization Hen</v>
      </c>
      <c r="F251" s="28" t="s">
        <v>4541</v>
      </c>
      <c r="G251" s="30">
        <v>4.32</v>
      </c>
      <c r="H251" s="31">
        <v>2.5099999999999998</v>
      </c>
      <c r="I251" s="28" t="s">
        <v>17</v>
      </c>
    </row>
    <row r="252" spans="1:9" ht="12.5">
      <c r="A252" s="28">
        <v>2435026</v>
      </c>
      <c r="B252" s="28" t="s">
        <v>225</v>
      </c>
      <c r="C252" s="28" t="s">
        <v>288</v>
      </c>
      <c r="D252" s="29" t="s">
        <v>4698</v>
      </c>
      <c r="E252" s="28" t="str">
        <f ca="1">IFERROR(__xludf.DUMMYFUNCTION("GOOGLETRANSLATE(D252)"),"Block chain development Getting Started from scratch starting in Python to teach the active Silicon Valley engineers")</f>
        <v>Block chain development Getting Started from scratch starting in Python to teach the active Silicon Valley engineers</v>
      </c>
      <c r="F252" s="28" t="s">
        <v>4424</v>
      </c>
      <c r="G252" s="30">
        <v>4.5</v>
      </c>
      <c r="H252" s="31">
        <v>4.26</v>
      </c>
      <c r="I252" s="28" t="s">
        <v>72</v>
      </c>
    </row>
    <row r="253" spans="1:9" ht="12.5">
      <c r="A253" s="27">
        <v>2436698</v>
      </c>
      <c r="B253" s="28" t="s">
        <v>672</v>
      </c>
      <c r="C253" s="28" t="s">
        <v>673</v>
      </c>
      <c r="D253" s="29" t="s">
        <v>4699</v>
      </c>
      <c r="E253" s="28" t="str">
        <f ca="1">IFERROR(__xludf.DUMMYFUNCTION("GOOGLETRANSLATE(D253)"),"Product Management Practice course: active duty product manager for Silicon Valley to teach, KPI that is used in the world the forefront")</f>
        <v>Product Management Practice course: active duty product manager for Silicon Valley to teach, KPI that is used in the world the forefront</v>
      </c>
      <c r="F253" s="28" t="s">
        <v>4564</v>
      </c>
      <c r="G253" s="30">
        <v>4.29</v>
      </c>
      <c r="H253" s="31">
        <v>3.43</v>
      </c>
      <c r="I253" s="28" t="s">
        <v>21</v>
      </c>
    </row>
    <row r="254" spans="1:9" ht="12.5">
      <c r="A254" s="28">
        <v>2436834</v>
      </c>
      <c r="B254" s="28" t="s">
        <v>225</v>
      </c>
      <c r="C254" s="28" t="s">
        <v>229</v>
      </c>
      <c r="D254" s="29" t="s">
        <v>4700</v>
      </c>
      <c r="E254" s="28" t="str">
        <f ca="1">IFERROR(__xludf.DUMMYFUNCTION("GOOGLETRANSLATE(D254)"),"In Raspberry Pi and Python IoT Fighting Spirit ~ IoT kitchen garden course -")</f>
        <v>In Raspberry Pi and Python IoT Fighting Spirit ~ IoT kitchen garden course -</v>
      </c>
      <c r="F254" s="28" t="s">
        <v>4701</v>
      </c>
      <c r="G254" s="30">
        <v>4.18</v>
      </c>
      <c r="H254" s="31">
        <v>2.11</v>
      </c>
      <c r="I254" s="28" t="s">
        <v>17</v>
      </c>
    </row>
    <row r="255" spans="1:9" ht="12.5">
      <c r="A255" s="27">
        <v>2443342</v>
      </c>
      <c r="B255" s="28" t="s">
        <v>557</v>
      </c>
      <c r="C255" s="28" t="s">
        <v>1565</v>
      </c>
      <c r="D255" s="29" t="s">
        <v>4702</v>
      </c>
      <c r="E255" s="28" t="str">
        <f ca="1">IFERROR(__xludf.DUMMYFUNCTION("GOOGLETRANSLATE(D255)"),"[Keyword-speed learning! ] Practice MBA Accounting &amp; Finance course Master Course")</f>
        <v>[Keyword-speed learning! ] Practice MBA Accounting &amp; Finance course Master Course</v>
      </c>
      <c r="F255" s="28" t="s">
        <v>4439</v>
      </c>
      <c r="G255" s="30">
        <v>4.3899999999999997</v>
      </c>
      <c r="H255" s="31">
        <v>7.53</v>
      </c>
      <c r="I255" s="28" t="s">
        <v>72</v>
      </c>
    </row>
    <row r="256" spans="1:9" ht="12.5">
      <c r="A256" s="28">
        <v>2443344</v>
      </c>
      <c r="B256" s="28" t="s">
        <v>672</v>
      </c>
      <c r="C256" s="28" t="s">
        <v>695</v>
      </c>
      <c r="D256" s="29" t="s">
        <v>4703</v>
      </c>
      <c r="E256" s="28" t="str">
        <f ca="1">IFERROR(__xludf.DUMMYFUNCTION("GOOGLETRANSLATE(D256)"),"[Mastering business data aggregation] Excel function Master Course")</f>
        <v>[Mastering business data aggregation] Excel function Master Course</v>
      </c>
      <c r="F256" s="28" t="s">
        <v>4439</v>
      </c>
      <c r="G256" s="30">
        <v>4.49</v>
      </c>
      <c r="H256" s="31">
        <v>5.24</v>
      </c>
      <c r="I256" s="28" t="s">
        <v>72</v>
      </c>
    </row>
    <row r="257" spans="1:9" ht="12.5">
      <c r="A257" s="27">
        <v>2453412</v>
      </c>
      <c r="B257" s="28" t="s">
        <v>225</v>
      </c>
      <c r="C257" s="28" t="s">
        <v>235</v>
      </c>
      <c r="D257" s="29" t="s">
        <v>4704</v>
      </c>
      <c r="E257" s="28" t="str">
        <f ca="1">IFERROR(__xludf.DUMMYFUNCTION("GOOGLETRANSLATE(D257)"),"- for engineers with a berth to the revised and enlarged version of ""Bootstrap4 Getting Started"" ~Web design")</f>
        <v>- for engineers with a berth to the revised and enlarged version of "Bootstrap4 Getting Started" ~Web design</v>
      </c>
      <c r="F257" s="28" t="s">
        <v>4705</v>
      </c>
      <c r="G257" s="30">
        <v>3.91</v>
      </c>
      <c r="H257" s="31">
        <v>2.84</v>
      </c>
      <c r="I257" s="28" t="s">
        <v>17</v>
      </c>
    </row>
    <row r="258" spans="1:9" ht="12.5">
      <c r="A258" s="28">
        <v>2457048</v>
      </c>
      <c r="B258" s="28" t="s">
        <v>225</v>
      </c>
      <c r="C258" s="28" t="s">
        <v>226</v>
      </c>
      <c r="D258" s="29" t="s">
        <v>4706</v>
      </c>
      <c r="E258" s="28" t="str">
        <f ca="1">IFERROR(__xludf.DUMMYFUNCTION("GOOGLETRANSLATE(D258)"),"C # coding rules: How the whole team with a style cup analyzer to write the same code")</f>
        <v>C # coding rules: How the whole team with a style cup analyzer to write the same code</v>
      </c>
      <c r="F258" s="28" t="s">
        <v>4582</v>
      </c>
      <c r="G258" s="30">
        <v>4.2</v>
      </c>
      <c r="H258" s="31">
        <v>1.1299999999999999</v>
      </c>
      <c r="I258" s="28" t="s">
        <v>17</v>
      </c>
    </row>
    <row r="259" spans="1:9" ht="12.5">
      <c r="A259" s="27">
        <v>2458394</v>
      </c>
      <c r="B259" s="28" t="s">
        <v>12</v>
      </c>
      <c r="C259" s="28" t="s">
        <v>13</v>
      </c>
      <c r="D259" s="29" t="s">
        <v>4707</v>
      </c>
      <c r="E259" s="28" t="str">
        <f ca="1">IFERROR(__xludf.DUMMYFUNCTION("GOOGLETRANSLATE(D259)"),"AWS: the first time of the Amazon Web Services")</f>
        <v>AWS: the first time of the Amazon Web Services</v>
      </c>
      <c r="F259" s="28" t="s">
        <v>4419</v>
      </c>
      <c r="G259" s="30">
        <v>4.2699999999999996</v>
      </c>
      <c r="H259" s="31">
        <v>2.13</v>
      </c>
      <c r="I259" s="28" t="s">
        <v>17</v>
      </c>
    </row>
    <row r="260" spans="1:9" ht="12.5">
      <c r="A260" s="27">
        <v>2470600</v>
      </c>
      <c r="B260" s="28" t="s">
        <v>768</v>
      </c>
      <c r="C260" s="28" t="s">
        <v>827</v>
      </c>
      <c r="D260" s="29" t="s">
        <v>4708</v>
      </c>
      <c r="E260" s="28" t="str">
        <f ca="1">IFERROR(__xludf.DUMMYFUNCTION("GOOGLETRANSLATE(D260)"),"[Fan grab the hearts of] learn from the examples state-of-the-art social marketing strategy")</f>
        <v>[Fan grab the hearts of] learn from the examples state-of-the-art social marketing strategy</v>
      </c>
      <c r="F260" s="28" t="s">
        <v>4709</v>
      </c>
      <c r="G260" s="30">
        <v>4.07</v>
      </c>
      <c r="H260" s="31">
        <v>2.61</v>
      </c>
      <c r="I260" s="28" t="s">
        <v>21</v>
      </c>
    </row>
    <row r="261" spans="1:9" ht="12.5">
      <c r="A261" s="27">
        <v>2472316</v>
      </c>
      <c r="B261" s="28" t="s">
        <v>1082</v>
      </c>
      <c r="C261" s="28" t="s">
        <v>2293</v>
      </c>
      <c r="D261" s="29" t="s">
        <v>4710</v>
      </c>
      <c r="E261" s="28" t="str">
        <f ca="1">IFERROR(__xludf.DUMMYFUNCTION("GOOGLETRANSLATE(D261)"),"[Students Guide] how the beginning of the UFB")</f>
        <v>[Students Guide] how the beginning of the UFB</v>
      </c>
      <c r="F261" s="28" t="s">
        <v>4711</v>
      </c>
      <c r="G261" s="30">
        <v>4.07</v>
      </c>
      <c r="H261" s="31">
        <v>0.17</v>
      </c>
      <c r="I261" s="28" t="s">
        <v>17</v>
      </c>
    </row>
    <row r="262" spans="1:9" ht="12.5">
      <c r="A262" s="28">
        <v>2472320</v>
      </c>
      <c r="B262" s="28" t="s">
        <v>1082</v>
      </c>
      <c r="C262" s="28" t="s">
        <v>2293</v>
      </c>
      <c r="D262" s="29" t="s">
        <v>4712</v>
      </c>
      <c r="E262" s="28" t="str">
        <f ca="1">IFERROR(__xludf.DUMMYFUNCTION("GOOGLETRANSLATE(D262)"),"[Administrator's Guide] UFB of How to get started &amp; [archive] UFB take advantage of online seminars")</f>
        <v>[Administrator's Guide] UFB of How to get started &amp; [archive] UFB take advantage of online seminars</v>
      </c>
      <c r="F262" s="28" t="s">
        <v>4711</v>
      </c>
      <c r="G262" s="30">
        <v>3.85</v>
      </c>
      <c r="H262" s="31">
        <v>1.72</v>
      </c>
      <c r="I262" s="28" t="s">
        <v>17</v>
      </c>
    </row>
    <row r="263" spans="1:9" ht="12.5">
      <c r="A263" s="28">
        <v>2481036</v>
      </c>
      <c r="B263" s="28" t="s">
        <v>31</v>
      </c>
      <c r="C263" s="28" t="s">
        <v>1161</v>
      </c>
      <c r="D263" s="29" t="s">
        <v>4713</v>
      </c>
      <c r="E263" s="28" t="str">
        <f ca="1">IFERROR(__xludf.DUMMYFUNCTION("GOOGLETRANSLATE(D263)"),"[Thorough explanation! ] Artificial intelligence and machine learning engineer training course (~ from beginner's class - statistically until digit recognition)")</f>
        <v>[Thorough explanation! ] Artificial intelligence and machine learning engineer training course (~ from beginner's class - statistically until digit recognition)</v>
      </c>
      <c r="F263" s="28" t="s">
        <v>4651</v>
      </c>
      <c r="G263" s="30">
        <v>4.21</v>
      </c>
      <c r="H263" s="31">
        <v>15.7</v>
      </c>
      <c r="I263" s="28" t="s">
        <v>17</v>
      </c>
    </row>
    <row r="264" spans="1:9" ht="12.5">
      <c r="A264" s="28">
        <v>2492712</v>
      </c>
      <c r="B264" s="28" t="s">
        <v>864</v>
      </c>
      <c r="C264" s="28" t="s">
        <v>865</v>
      </c>
      <c r="D264" s="29" t="s">
        <v>4714</v>
      </c>
      <c r="E264" s="28" t="str">
        <f ca="1">IFERROR(__xludf.DUMMYFUNCTION("GOOGLETRANSLATE(D264)"),"Microsoft Excel - Power Pivot, Power Query, DAX entry talks")</f>
        <v>Microsoft Excel - Power Pivot, Power Query, DAX entry talks</v>
      </c>
      <c r="F264" s="28" t="s">
        <v>4541</v>
      </c>
      <c r="G264" s="30">
        <v>4.5</v>
      </c>
      <c r="H264" s="31">
        <v>3.15</v>
      </c>
      <c r="I264" s="28" t="s">
        <v>17</v>
      </c>
    </row>
    <row r="265" spans="1:9" ht="12.5">
      <c r="A265" s="28">
        <v>2496416</v>
      </c>
      <c r="B265" s="28" t="s">
        <v>597</v>
      </c>
      <c r="C265" s="28" t="s">
        <v>601</v>
      </c>
      <c r="D265" s="29" t="s">
        <v>4715</v>
      </c>
      <c r="E265" s="28" t="str">
        <f ca="1">IFERROR(__xludf.DUMMYFUNCTION("GOOGLETRANSLATE(D265)"),"Learn the fastest - AWS Certified Solutions Architect Associate introductory fully capture course")</f>
        <v>Learn the fastest - AWS Certified Solutions Architect Associate introductory fully capture course</v>
      </c>
      <c r="F265" s="28" t="s">
        <v>4428</v>
      </c>
      <c r="G265" s="30">
        <v>4.18</v>
      </c>
      <c r="H265" s="31">
        <v>9.26</v>
      </c>
      <c r="I265" s="28" t="s">
        <v>17</v>
      </c>
    </row>
    <row r="266" spans="1:9" ht="12.5">
      <c r="A266" s="28">
        <v>2497584</v>
      </c>
      <c r="B266" s="28" t="s">
        <v>672</v>
      </c>
      <c r="C266" s="28" t="s">
        <v>695</v>
      </c>
      <c r="D266" s="29" t="s">
        <v>4716</v>
      </c>
      <c r="E266" s="28" t="str">
        <f ca="1">IFERROR(__xludf.DUMMYFUNCTION("GOOGLETRANSLATE(D266)"),"[Put a number to ally: beginner's class] data analysis that can be used in the field of business")</f>
        <v>[Put a number to ally: beginner's class] data analysis that can be used in the field of business</v>
      </c>
      <c r="F266" s="28" t="s">
        <v>4717</v>
      </c>
      <c r="G266" s="30">
        <v>4.04</v>
      </c>
      <c r="H266" s="31">
        <v>3.76</v>
      </c>
      <c r="I266" s="28" t="s">
        <v>17</v>
      </c>
    </row>
    <row r="267" spans="1:9" ht="12.5">
      <c r="A267" s="28">
        <v>2507404</v>
      </c>
      <c r="B267" s="28" t="s">
        <v>31</v>
      </c>
      <c r="C267" s="28" t="s">
        <v>93</v>
      </c>
      <c r="D267" s="29" t="s">
        <v>4718</v>
      </c>
      <c r="E267" s="28" t="str">
        <f ca="1">IFERROR(__xludf.DUMMYFUNCTION("GOOGLETRANSLATE(D267)"),"[Tu du] Microsoft Power BI Desktop - entry talks ~ DAX-CALCULATE Gifted edition ...")</f>
        <v>[Tu du] Microsoft Power BI Desktop - entry talks ~ DAX-CALCULATE Gifted edition ...</v>
      </c>
      <c r="F267" s="28" t="s">
        <v>4541</v>
      </c>
      <c r="G267" s="30">
        <v>4.32</v>
      </c>
      <c r="H267" s="31">
        <v>2.5299999999999998</v>
      </c>
      <c r="I267" s="28" t="s">
        <v>17</v>
      </c>
    </row>
    <row r="268" spans="1:9" ht="12.5">
      <c r="A268" s="28">
        <v>2508650</v>
      </c>
      <c r="B268" s="28" t="s">
        <v>597</v>
      </c>
      <c r="C268" s="28" t="s">
        <v>601</v>
      </c>
      <c r="D268" s="29" t="s">
        <v>4719</v>
      </c>
      <c r="E268" s="28" t="str">
        <f ca="1">IFERROR(__xludf.DUMMYFUNCTION("GOOGLETRANSLATE(D268)"),"The latest version: IT Passport Examination + information security management test lecture and past questions commentary")</f>
        <v>The latest version: IT Passport Examination + information security management test lecture and past questions commentary</v>
      </c>
      <c r="F268" s="28" t="s">
        <v>4596</v>
      </c>
      <c r="G268" s="30">
        <v>4.01</v>
      </c>
      <c r="H268" s="31">
        <v>22.81</v>
      </c>
      <c r="I268" s="28" t="s">
        <v>17</v>
      </c>
    </row>
    <row r="269" spans="1:9" ht="12.5">
      <c r="A269" s="28">
        <v>2530502</v>
      </c>
      <c r="B269" s="28" t="s">
        <v>12</v>
      </c>
      <c r="C269" s="28" t="s">
        <v>24</v>
      </c>
      <c r="D269" s="29" t="s">
        <v>4720</v>
      </c>
      <c r="E269" s="28" t="str">
        <f ca="1">IFERROR(__xludf.DUMMYFUNCTION("GOOGLETRANSLATE(D269)"),"It can be passed by this problem only! AWS Certified Cloud Practitioner practice exam collection of problems (7 times 455 questions)")</f>
        <v>It can be passed by this problem only! AWS Certified Cloud Practitioner practice exam collection of problems (7 times 455 questions)</v>
      </c>
      <c r="F269" s="28" t="s">
        <v>4627</v>
      </c>
      <c r="G269" s="30">
        <v>4.2300000000000004</v>
      </c>
      <c r="H269" s="31"/>
      <c r="I269" s="28" t="s">
        <v>17</v>
      </c>
    </row>
    <row r="270" spans="1:9" ht="12.5">
      <c r="A270" s="28">
        <v>2543363</v>
      </c>
      <c r="B270" s="28" t="s">
        <v>597</v>
      </c>
      <c r="C270" s="28" t="s">
        <v>604</v>
      </c>
      <c r="D270" s="29" t="s">
        <v>4721</v>
      </c>
      <c r="E270" s="28" t="str">
        <f ca="1">IFERROR(__xludf.DUMMYFUNCTION("GOOGLETRANSLATE(D270)"),"[Beginner engineer required skills Linux command] complex the environment built left to the AWS easily create the basic operation of Linux master")</f>
        <v>[Beginner engineer required skills Linux command] complex the environment built left to the AWS easily create the basic operation of Linux master</v>
      </c>
      <c r="F270" s="28" t="s">
        <v>4517</v>
      </c>
      <c r="G270" s="30">
        <v>4.03</v>
      </c>
      <c r="H270" s="31">
        <v>2.75</v>
      </c>
      <c r="I270" s="28" t="s">
        <v>17</v>
      </c>
    </row>
    <row r="271" spans="1:9" ht="12.5">
      <c r="A271" s="28">
        <v>2550455</v>
      </c>
      <c r="B271" s="28" t="s">
        <v>768</v>
      </c>
      <c r="C271" s="28" t="s">
        <v>827</v>
      </c>
      <c r="D271" s="29" t="s">
        <v>4722</v>
      </c>
      <c r="E271" s="28" t="str">
        <f ca="1">IFERROR(__xludf.DUMMYFUNCTION("GOOGLETRANSLATE(D271)"),"[This alone OK! ] Help any business! The first time the practice of marketing course")</f>
        <v>[This alone OK! ] Help any business! The first time the practice of marketing course</v>
      </c>
      <c r="F271" s="28" t="s">
        <v>4493</v>
      </c>
      <c r="G271" s="30">
        <v>4.08</v>
      </c>
      <c r="H271" s="31">
        <v>5.94</v>
      </c>
      <c r="I271" s="28" t="s">
        <v>17</v>
      </c>
    </row>
    <row r="272" spans="1:9" ht="12.5">
      <c r="A272" s="27">
        <v>2557122</v>
      </c>
      <c r="B272" s="28" t="s">
        <v>31</v>
      </c>
      <c r="C272" s="28" t="s">
        <v>32</v>
      </c>
      <c r="D272" s="29" t="s">
        <v>4723</v>
      </c>
      <c r="E272" s="28" t="str">
        <f ca="1">IFERROR(__xludf.DUMMYFUNCTION("GOOGLETRANSLATE(D272)"),"AI development Introduction to learn to move the hand! From the meaning of artificial intelligence to model building · RPA cooperation and server-less development")</f>
        <v>AI development Introduction to learn to move the hand! From the meaning of artificial intelligence to model building · RPA cooperation and server-less development</v>
      </c>
      <c r="F272" s="28" t="s">
        <v>4560</v>
      </c>
      <c r="G272" s="30">
        <v>4.17</v>
      </c>
      <c r="H272" s="31">
        <v>7.71</v>
      </c>
      <c r="I272" s="28" t="s">
        <v>17</v>
      </c>
    </row>
    <row r="273" spans="1:9" ht="12.5">
      <c r="A273" s="27">
        <v>2560702</v>
      </c>
      <c r="B273" s="28" t="s">
        <v>31</v>
      </c>
      <c r="C273" s="28" t="s">
        <v>37</v>
      </c>
      <c r="D273" s="29" t="s">
        <v>4724</v>
      </c>
      <c r="E273" s="28" t="str">
        <f ca="1">IFERROR(__xludf.DUMMYFUNCTION("GOOGLETRANSLATE(D273)"),"[Continue] Microsoft Power BI Desktop - An Introduction ~ Data Model Hen")</f>
        <v>[Continue] Microsoft Power BI Desktop - An Introduction ~ Data Model Hen</v>
      </c>
      <c r="F273" s="28" t="s">
        <v>4541</v>
      </c>
      <c r="G273" s="30">
        <v>4.38</v>
      </c>
      <c r="H273" s="31">
        <v>2.19</v>
      </c>
      <c r="I273" s="28" t="s">
        <v>17</v>
      </c>
    </row>
    <row r="274" spans="1:9" ht="12.5">
      <c r="A274" s="28">
        <v>2564968</v>
      </c>
      <c r="B274" s="28" t="s">
        <v>31</v>
      </c>
      <c r="C274" s="28" t="s">
        <v>37</v>
      </c>
      <c r="D274" s="29" t="s">
        <v>4725</v>
      </c>
      <c r="E274" s="28" t="str">
        <f ca="1">IFERROR(__xludf.DUMMYFUNCTION("GOOGLETRANSLATE(D274)"),"Organization move! ""Super"" basic data analysis start from today")</f>
        <v>Organization move! "Super" basic data analysis start from today</v>
      </c>
      <c r="F274" s="28" t="s">
        <v>4726</v>
      </c>
      <c r="G274" s="30">
        <v>4.22</v>
      </c>
      <c r="H274" s="31">
        <v>2.4700000000000002</v>
      </c>
      <c r="I274" s="28" t="s">
        <v>17</v>
      </c>
    </row>
    <row r="275" spans="1:9" ht="12.5">
      <c r="A275" s="27">
        <v>2565224</v>
      </c>
      <c r="B275" s="28" t="s">
        <v>102</v>
      </c>
      <c r="C275" s="28" t="s">
        <v>106</v>
      </c>
      <c r="D275" s="29" t="s">
        <v>4727</v>
      </c>
      <c r="E275" s="28" t="str">
        <f ca="1">IFERROR(__xludf.DUMMYFUNCTION("GOOGLETRANSLATE(D275)"),"[2020] The latest version remember moving the Adobe XD hand UI / UX prototyping. Learn everything from beginner to advanced techniques")</f>
        <v>[2020] The latest version remember moving the Adobe XD hand UI / UX prototyping. Learn everything from beginner to advanced techniques</v>
      </c>
      <c r="F275" s="28" t="s">
        <v>4674</v>
      </c>
      <c r="G275" s="30">
        <v>4.47</v>
      </c>
      <c r="H275" s="31">
        <v>11.46</v>
      </c>
      <c r="I275" s="28" t="s">
        <v>17</v>
      </c>
    </row>
    <row r="276" spans="1:9" ht="12.5">
      <c r="A276" s="27">
        <v>2574700</v>
      </c>
      <c r="B276" s="28" t="s">
        <v>31</v>
      </c>
      <c r="C276" s="28" t="s">
        <v>32</v>
      </c>
      <c r="D276" s="29" t="s">
        <v>4728</v>
      </c>
      <c r="E276" s="28" t="str">
        <f ca="1">IFERROR(__xludf.DUMMYFUNCTION("GOOGLETRANSLATE(D276)"),"Practical artificial intelligence / machine learning to learn to every nook and corner in the AI ​​perfect master course -Google Colaboratory -")</f>
        <v>Practical artificial intelligence / machine learning to learn to every nook and corner in the AI ​​perfect master course -Google Colaboratory -</v>
      </c>
      <c r="F276" s="28" t="s">
        <v>4410</v>
      </c>
      <c r="G276" s="30">
        <v>4.07</v>
      </c>
      <c r="H276" s="31">
        <v>11.89</v>
      </c>
      <c r="I276" s="28" t="s">
        <v>72</v>
      </c>
    </row>
    <row r="277" spans="1:9" ht="12.5">
      <c r="A277" s="28">
        <v>2579452</v>
      </c>
      <c r="B277" s="28" t="s">
        <v>864</v>
      </c>
      <c r="C277" s="28" t="s">
        <v>865</v>
      </c>
      <c r="D277" s="29" t="s">
        <v>4729</v>
      </c>
      <c r="E277" s="28" t="str">
        <f ca="1">IFERROR(__xludf.DUMMYFUNCTION("GOOGLETRANSLATE(D277)"),"15 hours to make Excel VBA expert to certification from the road - macro beginner to qualification test level of and seven of automated macro")</f>
        <v>15 hours to make Excel VBA expert to certification from the road - macro beginner to qualification test level of and seven of automated macro</v>
      </c>
      <c r="F277" s="28" t="s">
        <v>4366</v>
      </c>
      <c r="G277" s="30">
        <v>4.29</v>
      </c>
      <c r="H277" s="31">
        <v>15.84</v>
      </c>
      <c r="I277" s="28" t="s">
        <v>72</v>
      </c>
    </row>
    <row r="278" spans="1:9" ht="12.5">
      <c r="A278" s="28">
        <v>2582904</v>
      </c>
      <c r="B278" s="28" t="s">
        <v>225</v>
      </c>
      <c r="C278" s="28" t="s">
        <v>226</v>
      </c>
      <c r="D278" s="29" t="s">
        <v>4730</v>
      </c>
      <c r="E278" s="28" t="str">
        <f ca="1">IFERROR(__xludf.DUMMYFUNCTION("GOOGLETRANSLATE(D278)"),"[Hamushiki] learn hands-on TypeScript - TypeScript thorough introduction for JavaScript engineers")</f>
        <v>[Hamushiki] learn hands-on TypeScript - TypeScript thorough introduction for JavaScript engineers</v>
      </c>
      <c r="F278" s="28" t="s">
        <v>4500</v>
      </c>
      <c r="G278" s="30">
        <v>4.5199999999999996</v>
      </c>
      <c r="H278" s="31">
        <v>16.87</v>
      </c>
      <c r="I278" s="28" t="s">
        <v>21</v>
      </c>
    </row>
    <row r="279" spans="1:9" ht="12.5">
      <c r="A279" s="27">
        <v>2589018</v>
      </c>
      <c r="B279" s="28" t="s">
        <v>672</v>
      </c>
      <c r="C279" s="28" t="s">
        <v>695</v>
      </c>
      <c r="D279" s="29" t="s">
        <v>4731</v>
      </c>
      <c r="E279" s="28" t="str">
        <f ca="1">IFERROR(__xludf.DUMMYFUNCTION("GOOGLETRANSLATE(D279)"),"Required knowledge - of IT trend round know-digital transformation era")</f>
        <v>Required knowledge - of IT trend round know-digital transformation era</v>
      </c>
      <c r="F279" s="28" t="s">
        <v>4644</v>
      </c>
      <c r="G279" s="30">
        <v>3.98</v>
      </c>
      <c r="H279" s="31">
        <v>5.6</v>
      </c>
      <c r="I279" s="28" t="s">
        <v>17</v>
      </c>
    </row>
    <row r="280" spans="1:9" ht="12.5">
      <c r="A280" s="28">
        <v>2590434</v>
      </c>
      <c r="B280" s="28" t="s">
        <v>12</v>
      </c>
      <c r="C280" s="28" t="s">
        <v>13</v>
      </c>
      <c r="D280" s="29" t="s">
        <v>4732</v>
      </c>
      <c r="E280" s="28" t="str">
        <f ca="1">IFERROR(__xludf.DUMMYFUNCTION("GOOGLETRANSLATE(D280)"),"AWS Certified Solutions Architect professional practice exam collection of problems (all 5 times 375 questions)")</f>
        <v>AWS Certified Solutions Architect professional practice exam collection of problems (all 5 times 375 questions)</v>
      </c>
      <c r="F280" s="28" t="s">
        <v>4627</v>
      </c>
      <c r="G280" s="30">
        <v>4.09</v>
      </c>
      <c r="H280" s="31"/>
      <c r="I280" s="28" t="s">
        <v>72</v>
      </c>
    </row>
    <row r="281" spans="1:9" ht="12.5">
      <c r="A281" s="27">
        <v>2594890</v>
      </c>
      <c r="B281" s="28" t="s">
        <v>597</v>
      </c>
      <c r="C281" s="28" t="s">
        <v>601</v>
      </c>
      <c r="D281" s="29" t="s">
        <v>4733</v>
      </c>
      <c r="E281" s="28" t="str">
        <f ca="1">IFERROR(__xludf.DUMMYFUNCTION("GOOGLETRANSLATE(D281)"),"AWS Certified Developer Associate practice exam collection of problems (5 times 325 questions)")</f>
        <v>AWS Certified Developer Associate practice exam collection of problems (5 times 325 questions)</v>
      </c>
      <c r="F281" s="28" t="s">
        <v>4627</v>
      </c>
      <c r="G281" s="30">
        <v>3.96</v>
      </c>
      <c r="H281" s="31"/>
      <c r="I281" s="28" t="s">
        <v>72</v>
      </c>
    </row>
    <row r="282" spans="1:9" ht="12.5">
      <c r="A282" s="27">
        <v>2596020</v>
      </c>
      <c r="B282" s="28" t="s">
        <v>225</v>
      </c>
      <c r="C282" s="28" t="s">
        <v>226</v>
      </c>
      <c r="D282" s="29" t="s">
        <v>4734</v>
      </c>
      <c r="E282" s="28" t="str">
        <f ca="1">IFERROR(__xludf.DUMMYFUNCTION("GOOGLETRANSLATE(D282)"),"Block chain development Getting Started from scratch start with Go Tell the active Silicon Valley engineers")</f>
        <v>Block chain development Getting Started from scratch start with Go Tell the active Silicon Valley engineers</v>
      </c>
      <c r="F282" s="28" t="s">
        <v>4424</v>
      </c>
      <c r="G282" s="30">
        <v>4.6399999999999997</v>
      </c>
      <c r="H282" s="31">
        <v>5.57</v>
      </c>
      <c r="I282" s="28" t="s">
        <v>72</v>
      </c>
    </row>
    <row r="283" spans="1:9" ht="12.5">
      <c r="A283" s="28">
        <v>2602940</v>
      </c>
      <c r="B283" s="28" t="s">
        <v>225</v>
      </c>
      <c r="C283" s="28" t="s">
        <v>235</v>
      </c>
      <c r="D283" s="29" t="s">
        <v>4735</v>
      </c>
      <c r="E283" s="28" t="str">
        <f ca="1">IFERROR(__xludf.DUMMYFUNCTION("GOOGLETRANSLATE(D283)"),"[Easy copy and paste, move immediately! ] Starting from scratch ""Python"" world's fastest introductory course")</f>
        <v>[Easy copy and paste, move immediately! ] Starting from scratch "Python" world's fastest introductory course</v>
      </c>
      <c r="F283" s="28" t="s">
        <v>4736</v>
      </c>
      <c r="G283" s="30">
        <v>3.61</v>
      </c>
      <c r="H283" s="31">
        <v>1.51</v>
      </c>
      <c r="I283" s="28" t="s">
        <v>21</v>
      </c>
    </row>
    <row r="284" spans="1:9" ht="12.5">
      <c r="A284" s="27">
        <v>2603102</v>
      </c>
      <c r="B284" s="28" t="s">
        <v>102</v>
      </c>
      <c r="C284" s="28" t="s">
        <v>106</v>
      </c>
      <c r="D284" s="29" t="s">
        <v>4737</v>
      </c>
      <c r="E284" s="28" t="str">
        <f ca="1">IFERROR(__xludf.DUMMYFUNCTION("GOOGLETRANSLATE(D284)"),"[Ultra-practice] ready-to-use design thinking! Hold the - Basic, everyday to cause innovation 38 pieces of habit -")</f>
        <v>[Ultra-practice] ready-to-use design thinking! Hold the - Basic, everyday to cause innovation 38 pieces of habit -</v>
      </c>
      <c r="F284" s="28" t="s">
        <v>4738</v>
      </c>
      <c r="G284" s="30">
        <v>3.92</v>
      </c>
      <c r="H284" s="31">
        <v>5.16</v>
      </c>
      <c r="I284" s="28" t="s">
        <v>17</v>
      </c>
    </row>
    <row r="285" spans="1:9" ht="12.5">
      <c r="A285" s="28">
        <v>2604598</v>
      </c>
      <c r="B285" s="28" t="s">
        <v>225</v>
      </c>
      <c r="C285" s="28" t="s">
        <v>226</v>
      </c>
      <c r="D285" s="29" t="s">
        <v>4739</v>
      </c>
      <c r="E285" s="28" t="str">
        <f ca="1">IFERROR(__xludf.DUMMYFUNCTION("GOOGLETRANSLATE(D285)"),"[Learn in Python] CUDA Introduction to Programming")</f>
        <v>[Learn in Python] CUDA Introduction to Programming</v>
      </c>
      <c r="F285" s="28" t="s">
        <v>4432</v>
      </c>
      <c r="G285" s="30">
        <v>4.2300000000000004</v>
      </c>
      <c r="H285" s="31">
        <v>5.24</v>
      </c>
      <c r="I285" s="28" t="s">
        <v>72</v>
      </c>
    </row>
    <row r="286" spans="1:9" ht="12.5">
      <c r="A286" s="28">
        <v>2610520</v>
      </c>
      <c r="B286" s="28" t="s">
        <v>31</v>
      </c>
      <c r="C286" s="28" t="s">
        <v>37</v>
      </c>
      <c r="D286" s="29" t="s">
        <v>4740</v>
      </c>
      <c r="E286" s="28" t="str">
        <f ca="1">IFERROR(__xludf.DUMMYFUNCTION("GOOGLETRANSLATE(D286)"),"[Data Sciences × Business Communication] teach the active data scientist ""communicated data analysis to move.""")</f>
        <v>[Data Sciences × Business Communication] teach the active data scientist "communicated data analysis to move."</v>
      </c>
      <c r="F286" s="28" t="s">
        <v>4741</v>
      </c>
      <c r="G286" s="30">
        <v>4.1900000000000004</v>
      </c>
      <c r="H286" s="31">
        <v>12.61</v>
      </c>
      <c r="I286" s="28" t="s">
        <v>21</v>
      </c>
    </row>
    <row r="287" spans="1:9" ht="12.5">
      <c r="A287" s="28">
        <v>2611196</v>
      </c>
      <c r="B287" s="28" t="s">
        <v>225</v>
      </c>
      <c r="C287" s="28" t="s">
        <v>235</v>
      </c>
      <c r="D287" s="29" t="s">
        <v>4742</v>
      </c>
      <c r="E287" s="28" t="str">
        <f ca="1">IFERROR(__xludf.DUMMYFUNCTION("GOOGLETRANSLATE(D287)"),"Logically explains the JavaScript of work! The road to JavaScript Intermediate")</f>
        <v>Logically explains the JavaScript of work! The road to JavaScript Intermediate</v>
      </c>
      <c r="F287" s="28" t="s">
        <v>4743</v>
      </c>
      <c r="G287" s="30">
        <v>4.42</v>
      </c>
      <c r="H287" s="31">
        <v>3.51</v>
      </c>
      <c r="I287" s="28" t="s">
        <v>72</v>
      </c>
    </row>
    <row r="288" spans="1:9" ht="12.5">
      <c r="A288" s="28">
        <v>2619470</v>
      </c>
      <c r="B288" s="28" t="s">
        <v>864</v>
      </c>
      <c r="C288" s="28" t="s">
        <v>865</v>
      </c>
      <c r="D288" s="29" t="s">
        <v>4744</v>
      </c>
      <c r="E288" s="28" t="str">
        <f ca="1">IFERROR(__xludf.DUMMYFUNCTION("GOOGLETRANSLATE(D288)"),"Microsoft Excel Pivot Table 0 to Hero to combat from Excel pivot table Introduction")</f>
        <v>Microsoft Excel Pivot Table 0 to Hero to combat from Excel pivot table Introduction</v>
      </c>
      <c r="F288" s="28" t="s">
        <v>4541</v>
      </c>
      <c r="G288" s="30">
        <v>4.4000000000000004</v>
      </c>
      <c r="H288" s="31">
        <v>4.95</v>
      </c>
      <c r="I288" s="28" t="s">
        <v>17</v>
      </c>
    </row>
    <row r="289" spans="1:9" ht="12.5">
      <c r="A289" s="27">
        <v>2620778</v>
      </c>
      <c r="B289" s="28" t="s">
        <v>225</v>
      </c>
      <c r="C289" s="28" t="s">
        <v>226</v>
      </c>
      <c r="D289" s="29" t="s">
        <v>4745</v>
      </c>
      <c r="E289" s="28" t="str">
        <f ca="1">IFERROR(__xludf.DUMMYFUNCTION("GOOGLETRANSLATE(D289)"),"PHP programming course to learn only basis")</f>
        <v>PHP programming course to learn only basis</v>
      </c>
      <c r="F289" s="28" t="s">
        <v>4746</v>
      </c>
      <c r="G289" s="30">
        <v>4.3499999999999996</v>
      </c>
      <c r="H289" s="31">
        <v>14.29</v>
      </c>
      <c r="I289" s="28" t="s">
        <v>17</v>
      </c>
    </row>
    <row r="290" spans="1:9" ht="12.5">
      <c r="A290" s="27">
        <v>2622530</v>
      </c>
      <c r="B290" s="28" t="s">
        <v>31</v>
      </c>
      <c r="C290" s="28" t="s">
        <v>37</v>
      </c>
      <c r="D290" s="29" t="s">
        <v>4747</v>
      </c>
      <c r="E290" s="28" t="str">
        <f ca="1">IFERROR(__xludf.DUMMYFUNCTION("GOOGLETRANSLATE(D290)"),"[The numbers put to ally: Intermediate ed] data analysis that can be used in the field of business")</f>
        <v>[The numbers put to ally: Intermediate ed] data analysis that can be used in the field of business</v>
      </c>
      <c r="F290" s="28" t="s">
        <v>4717</v>
      </c>
      <c r="G290" s="30">
        <v>4.45</v>
      </c>
      <c r="H290" s="31">
        <v>2.99</v>
      </c>
      <c r="I290" s="28" t="s">
        <v>72</v>
      </c>
    </row>
    <row r="291" spans="1:9" ht="12.5">
      <c r="A291" s="28">
        <v>2623872</v>
      </c>
      <c r="B291" s="28" t="s">
        <v>225</v>
      </c>
      <c r="C291" s="28" t="s">
        <v>229</v>
      </c>
      <c r="D291" s="29" t="s">
        <v>4748</v>
      </c>
      <c r="E291" s="28" t="str">
        <f ca="1">IFERROR(__xludf.DUMMYFUNCTION("GOOGLETRANSLATE(D291)"),"Start from the Linux command Docker ~ BE A FIRST PENGUIN AND GROW AS WHALE")</f>
        <v>Start from the Linux command Docker ~ BE A FIRST PENGUIN AND GROW AS WHALE</v>
      </c>
      <c r="F291" s="28" t="s">
        <v>4481</v>
      </c>
      <c r="G291" s="30">
        <v>4.32</v>
      </c>
      <c r="H291" s="31">
        <v>6.84</v>
      </c>
      <c r="I291" s="28" t="s">
        <v>72</v>
      </c>
    </row>
    <row r="292" spans="1:9" ht="12.5">
      <c r="A292" s="28">
        <v>2628116</v>
      </c>
      <c r="B292" s="28" t="s">
        <v>31</v>
      </c>
      <c r="C292" s="28" t="s">
        <v>37</v>
      </c>
      <c r="D292" s="29" t="s">
        <v>4749</v>
      </c>
      <c r="E292" s="28" t="str">
        <f ca="1">IFERROR(__xludf.DUMMYFUNCTION("GOOGLETRANSLATE(D292)"),"SQL Introduction - database to learn in MySQL")</f>
        <v>SQL Introduction - database to learn in MySQL</v>
      </c>
      <c r="F292" s="28" t="s">
        <v>4458</v>
      </c>
      <c r="G292" s="30">
        <v>4.47</v>
      </c>
      <c r="H292" s="31">
        <v>3.1</v>
      </c>
      <c r="I292" s="28" t="s">
        <v>17</v>
      </c>
    </row>
    <row r="293" spans="1:9" ht="12.5">
      <c r="A293" s="27">
        <v>2631390</v>
      </c>
      <c r="B293" s="28" t="s">
        <v>864</v>
      </c>
      <c r="C293" s="28" t="s">
        <v>881</v>
      </c>
      <c r="D293" s="29" t="s">
        <v>4750</v>
      </c>
      <c r="E293" s="28" t="str">
        <f ca="1">IFERROR(__xludf.DUMMYFUNCTION("GOOGLETRANSLATE(D293)"),"Automation of business by business efficiency Encyclopedia ~Google Apps Script to give the business person -")</f>
        <v>Automation of business by business efficiency Encyclopedia ~Google Apps Script to give the business person -</v>
      </c>
      <c r="F293" s="28" t="s">
        <v>4600</v>
      </c>
      <c r="G293" s="30">
        <v>4.25</v>
      </c>
      <c r="H293" s="31">
        <v>9.08</v>
      </c>
      <c r="I293" s="28" t="s">
        <v>17</v>
      </c>
    </row>
    <row r="294" spans="1:9" ht="12.5">
      <c r="A294" s="27">
        <v>2640636</v>
      </c>
      <c r="B294" s="28" t="s">
        <v>1034</v>
      </c>
      <c r="C294" s="28" t="s">
        <v>1040</v>
      </c>
      <c r="D294" s="29" t="s">
        <v>4751</v>
      </c>
      <c r="E294" s="28" t="str">
        <f ca="1">IFERROR(__xludf.DUMMYFUNCTION("GOOGLETRANSLATE(D294)"),"Product Design Introduction to learn to move the hand! Design thinking, prototyping, agile way of thinking and practice")</f>
        <v>Product Design Introduction to learn to move the hand! Design thinking, prototyping, agile way of thinking and practice</v>
      </c>
      <c r="F294" s="28" t="s">
        <v>4560</v>
      </c>
      <c r="G294" s="30">
        <v>4.18</v>
      </c>
      <c r="H294" s="31">
        <v>3.31</v>
      </c>
      <c r="I294" s="28" t="s">
        <v>17</v>
      </c>
    </row>
    <row r="295" spans="1:9" ht="12.5">
      <c r="A295" s="28">
        <v>2641288</v>
      </c>
      <c r="B295" s="28" t="s">
        <v>225</v>
      </c>
      <c r="C295" s="28" t="s">
        <v>235</v>
      </c>
      <c r="D295" s="29" t="s">
        <v>4752</v>
      </c>
      <c r="E295" s="28" t="str">
        <f ca="1">IFERROR(__xludf.DUMMYFUNCTION("GOOGLETRANSLATE(D295)"),"Webpack Environment Getting Started with Babel for active duty engineers | Sass | Eslint")</f>
        <v>Webpack Environment Getting Started with Babel for active duty engineers | Sass | Eslint</v>
      </c>
      <c r="F295" s="28" t="s">
        <v>4743</v>
      </c>
      <c r="G295" s="30">
        <v>4.5999999999999996</v>
      </c>
      <c r="H295" s="31">
        <v>4.18</v>
      </c>
      <c r="I295" s="28" t="s">
        <v>72</v>
      </c>
    </row>
    <row r="296" spans="1:9" ht="12.5">
      <c r="A296" s="27">
        <v>2641334</v>
      </c>
      <c r="B296" s="28" t="s">
        <v>225</v>
      </c>
      <c r="C296" s="28" t="s">
        <v>235</v>
      </c>
      <c r="D296" s="29" t="s">
        <v>4753</v>
      </c>
      <c r="E296" s="28" t="str">
        <f ca="1">IFERROR(__xludf.DUMMYFUNCTION("GOOGLETRANSLATE(D296)"),"REST WebAPI service design")</f>
        <v>REST WebAPI service design</v>
      </c>
      <c r="F296" s="28" t="s">
        <v>4448</v>
      </c>
      <c r="G296" s="30">
        <v>4.25</v>
      </c>
      <c r="H296" s="31">
        <v>5.72</v>
      </c>
      <c r="I296" s="28" t="s">
        <v>72</v>
      </c>
    </row>
    <row r="297" spans="1:9" ht="12.5">
      <c r="A297" s="27">
        <v>2644934</v>
      </c>
      <c r="B297" s="28" t="s">
        <v>225</v>
      </c>
      <c r="C297" s="28" t="s">
        <v>226</v>
      </c>
      <c r="D297" s="29" t="s">
        <v>4754</v>
      </c>
      <c r="E297" s="28" t="str">
        <f ca="1">IFERROR(__xludf.DUMMYFUNCTION("GOOGLETRANSLATE(D297)"),"The latest version: course consisting of a basic information technology's test + Applied Information Technology Engineers Examination + Python + SQL beginner to professional engineers")</f>
        <v>The latest version: course consisting of a basic information technology's test + Applied Information Technology Engineers Examination + Python + SQL beginner to professional engineers</v>
      </c>
      <c r="F297" s="28" t="s">
        <v>4596</v>
      </c>
      <c r="G297" s="30">
        <v>4.09</v>
      </c>
      <c r="H297" s="31">
        <v>53.94</v>
      </c>
      <c r="I297" s="28" t="s">
        <v>17</v>
      </c>
    </row>
    <row r="298" spans="1:9" ht="12.5">
      <c r="A298" s="27">
        <v>2646876</v>
      </c>
      <c r="B298" s="28" t="s">
        <v>225</v>
      </c>
      <c r="C298" s="28" t="s">
        <v>229</v>
      </c>
      <c r="D298" s="29" t="s">
        <v>4755</v>
      </c>
      <c r="E298" s="28" t="str">
        <f ca="1">IFERROR(__xludf.DUMMYFUNCTION("GOOGLETRANSLATE(D298)"),"Linux command no longer afraid. Try to learn in five days the Linux command line while moving the hand")</f>
        <v>Linux command no longer afraid. Try to learn in five days the Linux command line while moving the hand</v>
      </c>
      <c r="F298" s="28" t="s">
        <v>4419</v>
      </c>
      <c r="G298" s="30">
        <v>4.55</v>
      </c>
      <c r="H298" s="31">
        <v>5.24</v>
      </c>
      <c r="I298" s="28" t="s">
        <v>17</v>
      </c>
    </row>
    <row r="299" spans="1:9" ht="12.5">
      <c r="A299" s="27">
        <v>2651948</v>
      </c>
      <c r="B299" s="28" t="s">
        <v>597</v>
      </c>
      <c r="C299" s="28" t="s">
        <v>601</v>
      </c>
      <c r="D299" s="29" t="s">
        <v>4756</v>
      </c>
      <c r="E299" s="28" t="str">
        <f ca="1">IFERROR(__xludf.DUMMYFUNCTION("GOOGLETRANSLATE(D299)"),"It is seen in the video! Road to IT passport + Basic Information Technology Engineers Examination passed [database ed.]")</f>
        <v>It is seen in the video! Road to IT passport + Basic Information Technology Engineers Examination passed [database ed.]</v>
      </c>
      <c r="F299" s="28" t="s">
        <v>4757</v>
      </c>
      <c r="G299" s="30">
        <v>4.22</v>
      </c>
      <c r="H299" s="31">
        <v>2.5099999999999998</v>
      </c>
      <c r="I299" s="28" t="s">
        <v>17</v>
      </c>
    </row>
    <row r="300" spans="1:9" ht="12.5">
      <c r="A300" s="27">
        <v>2653794</v>
      </c>
      <c r="B300" s="28" t="s">
        <v>672</v>
      </c>
      <c r="C300" s="28" t="s">
        <v>681</v>
      </c>
      <c r="D300" s="29" t="s">
        <v>4758</v>
      </c>
      <c r="E300" s="28" t="str">
        <f ca="1">IFERROR(__xludf.DUMMYFUNCTION("GOOGLETRANSLATE(D300)"),"Members in the coaching begins to move! Leadership Practice course")</f>
        <v>Members in the coaching begins to move! Leadership Practice course</v>
      </c>
      <c r="F300" s="28" t="s">
        <v>4759</v>
      </c>
      <c r="G300" s="30">
        <v>3.89</v>
      </c>
      <c r="H300" s="31">
        <v>1.81</v>
      </c>
      <c r="I300" s="28" t="s">
        <v>72</v>
      </c>
    </row>
    <row r="301" spans="1:9" ht="12.5">
      <c r="A301" s="27">
        <v>2666182</v>
      </c>
      <c r="B301" s="28" t="s">
        <v>768</v>
      </c>
      <c r="C301" s="28" t="s">
        <v>792</v>
      </c>
      <c r="D301" s="29" t="s">
        <v>4760</v>
      </c>
      <c r="E301" s="28" t="str">
        <f ca="1">IFERROR(__xludf.DUMMYFUNCTION("GOOGLETRANSLATE(D301)"),"Changes in the shortest two weeks out! WEB site analysis and improvement [practice course] for beginners")</f>
        <v>Changes in the shortest two weeks out! WEB site analysis and improvement [practice course] for beginners</v>
      </c>
      <c r="F301" s="28" t="s">
        <v>4761</v>
      </c>
      <c r="G301" s="30">
        <v>4.22</v>
      </c>
      <c r="H301" s="31">
        <v>3.39</v>
      </c>
      <c r="I301" s="28" t="s">
        <v>17</v>
      </c>
    </row>
    <row r="302" spans="1:9" ht="12.5">
      <c r="A302" s="27">
        <v>2667318</v>
      </c>
      <c r="B302" s="28" t="s">
        <v>672</v>
      </c>
      <c r="C302" s="28" t="s">
        <v>695</v>
      </c>
      <c r="D302" s="29" t="s">
        <v>4762</v>
      </c>
      <c r="E302" s="28" t="str">
        <f ca="1">IFERROR(__xludf.DUMMYFUNCTION("GOOGLETRANSLATE(D302)"),"[My changes! Life-changing! 20 techniques course that negotiations with] people become well")</f>
        <v>[My changes! Life-changing! 20 techniques course that negotiations with] people become well</v>
      </c>
      <c r="F302" s="28" t="s">
        <v>4763</v>
      </c>
      <c r="G302" s="30">
        <v>4.0999999999999996</v>
      </c>
      <c r="H302" s="31">
        <v>3.89</v>
      </c>
      <c r="I302" s="28" t="s">
        <v>21</v>
      </c>
    </row>
    <row r="303" spans="1:9" ht="12.5">
      <c r="A303" s="27">
        <v>2674168</v>
      </c>
      <c r="B303" s="28" t="s">
        <v>864</v>
      </c>
      <c r="C303" s="28" t="s">
        <v>865</v>
      </c>
      <c r="D303" s="29" t="s">
        <v>4764</v>
      </c>
      <c r="E303" s="28" t="str">
        <f ca="1">IFERROR(__xludf.DUMMYFUNCTION("GOOGLETRANSLATE(D303)"),"[Maximize sales in the sales analysis] Google spreadsheet master course starting from scratch | state-of-the-art technology in the sales maximization and waste minimization")</f>
        <v>[Maximize sales in the sales analysis] Google spreadsheet master course starting from scratch | state-of-the-art technology in the sales maximization and waste minimization</v>
      </c>
      <c r="F303" s="28" t="s">
        <v>4736</v>
      </c>
      <c r="G303" s="30">
        <v>4.12</v>
      </c>
      <c r="H303" s="31">
        <v>5.54</v>
      </c>
      <c r="I303" s="28" t="s">
        <v>21</v>
      </c>
    </row>
    <row r="304" spans="1:9" ht="12.5">
      <c r="A304" s="27">
        <v>2675508</v>
      </c>
      <c r="B304" s="28" t="s">
        <v>225</v>
      </c>
      <c r="C304" s="28" t="s">
        <v>226</v>
      </c>
      <c r="D304" s="29" t="s">
        <v>4765</v>
      </c>
      <c r="E304" s="28" t="str">
        <f ca="1">IFERROR(__xludf.DUMMYFUNCTION("GOOGLETRANSLATE(D304)"),"Let's do it thoroughly the server side from PHP to Laravel [from beginner to de-beginners] [understandability top priority]")</f>
        <v>Let's do it thoroughly the server side from PHP to Laravel [from beginner to de-beginners] [understandability top priority]</v>
      </c>
      <c r="F304" s="28" t="s">
        <v>4766</v>
      </c>
      <c r="G304" s="30">
        <v>4.2</v>
      </c>
      <c r="H304" s="31">
        <v>12.36</v>
      </c>
      <c r="I304" s="28" t="s">
        <v>17</v>
      </c>
    </row>
    <row r="305" spans="1:9" ht="12.5">
      <c r="A305" s="27">
        <v>2696626</v>
      </c>
      <c r="B305" s="28" t="s">
        <v>31</v>
      </c>
      <c r="C305" s="28" t="s">
        <v>32</v>
      </c>
      <c r="D305" s="29" t="s">
        <v>4767</v>
      </c>
      <c r="E305" s="28" t="str">
        <f ca="1">IFERROR(__xludf.DUMMYFUNCTION("GOOGLETRANSLATE(D305)"),"To understand the AI ​​use for business in the [math / programming unnecessary] implementation experience of deep learning")</f>
        <v>To understand the AI ​​use for business in the [math / programming unnecessary] implementation experience of deep learning</v>
      </c>
      <c r="F305" s="28" t="s">
        <v>4768</v>
      </c>
      <c r="G305" s="30">
        <v>4.01</v>
      </c>
      <c r="H305" s="31">
        <v>1.85</v>
      </c>
      <c r="I305" s="28" t="s">
        <v>17</v>
      </c>
    </row>
    <row r="306" spans="1:9" ht="12.5">
      <c r="A306" s="27">
        <v>2702356</v>
      </c>
      <c r="B306" s="28" t="s">
        <v>225</v>
      </c>
      <c r="C306" s="28" t="s">
        <v>235</v>
      </c>
      <c r="D306" s="29" t="s">
        <v>4769</v>
      </c>
      <c r="E306" s="28" t="str">
        <f ca="1">IFERROR(__xludf.DUMMYFUNCTION("GOOGLETRANSLATE(D306)"),"Learn in the shortest, fastest React Hooks complete guide! Trying to master the basics - Application Hen latest React development + State management!")</f>
        <v>Learn in the shortest, fastest React Hooks complete guide! Trying to master the basics - Application Hen latest React development + State management!</v>
      </c>
      <c r="F306" s="28" t="s">
        <v>4770</v>
      </c>
      <c r="G306" s="30">
        <v>4.09</v>
      </c>
      <c r="H306" s="31">
        <v>2.08</v>
      </c>
      <c r="I306" s="28" t="s">
        <v>21</v>
      </c>
    </row>
    <row r="307" spans="1:9" ht="12.5">
      <c r="A307" s="27">
        <v>2707752</v>
      </c>
      <c r="B307" s="28" t="s">
        <v>225</v>
      </c>
      <c r="C307" s="28" t="s">
        <v>235</v>
      </c>
      <c r="D307" s="29" t="s">
        <v>4771</v>
      </c>
      <c r="E307" s="28" t="str">
        <f ca="1">IFERROR(__xludf.DUMMYFUNCTION("GOOGLETRANSLATE(D307)"),"[JavaScript &amp; CSS] WEB development thorough practice for people who want to learn in the Gachi (front-end ed.)")</f>
        <v>[JavaScript &amp; CSS] WEB development thorough practice for people who want to learn in the Gachi (front-end ed.)</v>
      </c>
      <c r="F307" s="28" t="s">
        <v>4743</v>
      </c>
      <c r="G307" s="30">
        <v>4.5199999999999996</v>
      </c>
      <c r="H307" s="31">
        <v>19.47</v>
      </c>
      <c r="I307" s="28" t="s">
        <v>21</v>
      </c>
    </row>
    <row r="308" spans="1:9" ht="12.5">
      <c r="A308" s="27">
        <v>2716886</v>
      </c>
      <c r="B308" s="28" t="s">
        <v>672</v>
      </c>
      <c r="C308" s="28" t="s">
        <v>681</v>
      </c>
      <c r="D308" s="29" t="s">
        <v>4772</v>
      </c>
      <c r="E308" s="28" t="str">
        <f ca="1">IFERROR(__xludf.DUMMYFUNCTION("GOOGLETRANSLATE(D308)"),"""Manager First kit"" for new managers")</f>
        <v>"Manager First kit" for new managers</v>
      </c>
      <c r="F308" s="28" t="s">
        <v>4533</v>
      </c>
      <c r="G308" s="30">
        <v>4.09</v>
      </c>
      <c r="H308" s="31">
        <v>4.12</v>
      </c>
      <c r="I308" s="28" t="s">
        <v>17</v>
      </c>
    </row>
    <row r="309" spans="1:9" ht="12.5">
      <c r="A309" s="27">
        <v>2718146</v>
      </c>
      <c r="B309" s="28" t="s">
        <v>864</v>
      </c>
      <c r="C309" s="28" t="s">
        <v>865</v>
      </c>
      <c r="D309" s="29" t="s">
        <v>4773</v>
      </c>
      <c r="E309" s="28" t="str">
        <f ca="1">IFERROR(__xludf.DUMMYFUNCTION("GOOGLETRANSLATE(D309)"),"[Enhance the productivity] shortcut course of the Windows / Excel / PowerPoint / Word")</f>
        <v>[Enhance the productivity] shortcut course of the Windows / Excel / PowerPoint / Word</v>
      </c>
      <c r="F309" s="28" t="s">
        <v>4439</v>
      </c>
      <c r="G309" s="30">
        <v>4.5599999999999996</v>
      </c>
      <c r="H309" s="31">
        <v>3.9</v>
      </c>
      <c r="I309" s="28" t="s">
        <v>17</v>
      </c>
    </row>
    <row r="310" spans="1:9" ht="12.5">
      <c r="A310" s="27">
        <v>2722424</v>
      </c>
      <c r="B310" s="28" t="s">
        <v>225</v>
      </c>
      <c r="C310" s="28" t="s">
        <v>235</v>
      </c>
      <c r="D310" s="29" t="s">
        <v>4774</v>
      </c>
      <c r="E310" s="28" t="str">
        <f ca="1">IFERROR(__xludf.DUMMYFUNCTION("GOOGLETRANSLATE(D310)"),"Start with a connection [Angular11 and Node.js! ] JavaScript-based WEB application development Complete Guide ②")</f>
        <v>Start with a connection [Angular11 and Node.js! ] JavaScript-based WEB application development Complete Guide ②</v>
      </c>
      <c r="F310" s="28" t="s">
        <v>4646</v>
      </c>
      <c r="G310" s="30">
        <v>4.67</v>
      </c>
      <c r="H310" s="31">
        <v>4.13</v>
      </c>
      <c r="I310" s="28" t="s">
        <v>259</v>
      </c>
    </row>
    <row r="311" spans="1:9" ht="12.5">
      <c r="A311" s="27">
        <v>2723938</v>
      </c>
      <c r="B311" s="28" t="s">
        <v>597</v>
      </c>
      <c r="C311" s="28" t="s">
        <v>601</v>
      </c>
      <c r="D311" s="29" t="s">
        <v>4775</v>
      </c>
      <c r="E311" s="28" t="str">
        <f ca="1">IFERROR(__xludf.DUMMYFUNCTION("GOOGLETRANSLATE(D311)"),"Aiming to one shot passed the ""PMP® certification exam!"" Strategic course for the efficient test measures (2020)")</f>
        <v>Aiming to one shot passed the "PMP® certification exam!" Strategic course for the efficient test measures (2020)</v>
      </c>
      <c r="F311" s="28" t="s">
        <v>4776</v>
      </c>
      <c r="G311" s="30">
        <v>4.34</v>
      </c>
      <c r="H311" s="31">
        <v>7</v>
      </c>
      <c r="I311" s="28" t="s">
        <v>72</v>
      </c>
    </row>
    <row r="312" spans="1:9" ht="12.5">
      <c r="A312" s="27">
        <v>2739350</v>
      </c>
      <c r="B312" s="28" t="s">
        <v>225</v>
      </c>
      <c r="C312" s="28" t="s">
        <v>398</v>
      </c>
      <c r="D312" s="29" t="s">
        <v>4777</v>
      </c>
      <c r="E312" s="28" t="str">
        <f ca="1">IFERROR(__xludf.DUMMYFUNCTION("GOOGLETRANSLATE(D312)"),"The first time the software testing techniques [the most important testing techniques should know all of the engineer, gonna to wear in polite commentary and exercises problem]")</f>
        <v>The first time the software testing techniques [the most important testing techniques should know all of the engineer, gonna to wear in polite commentary and exercises problem]</v>
      </c>
      <c r="F312" s="28" t="s">
        <v>4636</v>
      </c>
      <c r="G312" s="30">
        <v>4.2699999999999996</v>
      </c>
      <c r="H312" s="31">
        <v>2.36</v>
      </c>
      <c r="I312" s="28" t="s">
        <v>17</v>
      </c>
    </row>
    <row r="313" spans="1:9" ht="12.5">
      <c r="A313" s="27">
        <v>2739912</v>
      </c>
      <c r="B313" s="28" t="s">
        <v>557</v>
      </c>
      <c r="C313" s="28" t="s">
        <v>1603</v>
      </c>
      <c r="D313" s="29" t="s">
        <v>4778</v>
      </c>
      <c r="E313" s="28" t="str">
        <f ca="1">IFERROR(__xludf.DUMMYFUNCTION("GOOGLETRANSLATE(D313)"),"[Practice Finance] M &amp; A simulation foundation course to learn in Excel")</f>
        <v>[Practice Finance] M &amp; A simulation foundation course to learn in Excel</v>
      </c>
      <c r="F313" s="28" t="s">
        <v>4439</v>
      </c>
      <c r="G313" s="30">
        <v>4.1500000000000004</v>
      </c>
      <c r="H313" s="31">
        <v>3.87</v>
      </c>
      <c r="I313" s="28" t="s">
        <v>72</v>
      </c>
    </row>
    <row r="314" spans="1:9" ht="12.5">
      <c r="A314" s="27">
        <v>2758382</v>
      </c>
      <c r="B314" s="28" t="s">
        <v>225</v>
      </c>
      <c r="C314" s="28" t="s">
        <v>226</v>
      </c>
      <c r="D314" s="29" t="s">
        <v>4779</v>
      </c>
      <c r="E314" s="28" t="str">
        <f ca="1">IFERROR(__xludf.DUMMYFUNCTION("GOOGLETRANSLATE(D314)"),"[70,000 students in the world] Understanding TypeScript - 2020 years the latest version")</f>
        <v>[70,000 students in the world] Understanding TypeScript - 2020 years the latest version</v>
      </c>
      <c r="F314" s="28" t="s">
        <v>4780</v>
      </c>
      <c r="G314" s="30">
        <v>4.5</v>
      </c>
      <c r="H314" s="31">
        <v>15.36</v>
      </c>
      <c r="I314" s="28" t="s">
        <v>21</v>
      </c>
    </row>
    <row r="315" spans="1:9" ht="12.5">
      <c r="A315" s="27">
        <v>2763848</v>
      </c>
      <c r="B315" s="28" t="s">
        <v>31</v>
      </c>
      <c r="C315" s="28" t="s">
        <v>1161</v>
      </c>
      <c r="D315" s="29" t="s">
        <v>4781</v>
      </c>
      <c r="E315" s="28" t="str">
        <f ca="1">IFERROR(__xludf.DUMMYFUNCTION("GOOGLETRANSLATE(D315)"),"[340,000 people attended in the world] aim to data scientist - to your data science 25 hours boot camp -")</f>
        <v>[340,000 people attended in the world] aim to data scientist - to your data science 25 hours boot camp -</v>
      </c>
      <c r="F315" s="28" t="s">
        <v>1156</v>
      </c>
      <c r="G315" s="30">
        <v>4.2699999999999996</v>
      </c>
      <c r="H315" s="31">
        <v>26.18</v>
      </c>
      <c r="I315" s="28" t="s">
        <v>21</v>
      </c>
    </row>
    <row r="316" spans="1:9" ht="12.5">
      <c r="A316" s="27">
        <v>2766948</v>
      </c>
      <c r="B316" s="28" t="s">
        <v>31</v>
      </c>
      <c r="C316" s="28" t="s">
        <v>93</v>
      </c>
      <c r="D316" s="29" t="s">
        <v>4782</v>
      </c>
      <c r="E316" s="28" t="str">
        <f ca="1">IFERROR(__xludf.DUMMYFUNCTION("GOOGLETRANSLATE(D316)"),"[Continue] Microsoft Power BI Desktop - An Introduction - budget actual comparison Hen")</f>
        <v>[Continue] Microsoft Power BI Desktop - An Introduction - budget actual comparison Hen</v>
      </c>
      <c r="F316" s="28" t="s">
        <v>4541</v>
      </c>
      <c r="G316" s="30">
        <v>4.53</v>
      </c>
      <c r="H316" s="31">
        <v>3.03</v>
      </c>
      <c r="I316" s="28" t="s">
        <v>17</v>
      </c>
    </row>
    <row r="317" spans="1:9" ht="12.5">
      <c r="A317" s="27">
        <v>2774790</v>
      </c>
      <c r="B317" s="28" t="s">
        <v>672</v>
      </c>
      <c r="C317" s="28" t="s">
        <v>677</v>
      </c>
      <c r="D317" s="29" t="s">
        <v>4783</v>
      </c>
      <c r="E317" s="28" t="str">
        <f ca="1">IFERROR(__xludf.DUMMYFUNCTION("GOOGLETRANSLATE(D317)"),"Twice team productivity! ! Improvement of meeting surgery - productivity of the highest quality is determined by 90% at the meeting -")</f>
        <v>Twice team productivity! ! Improvement of meeting surgery - productivity of the highest quality is determined by 90% at the meeting -</v>
      </c>
      <c r="F317" s="28" t="s">
        <v>4539</v>
      </c>
      <c r="G317" s="30">
        <v>4.0599999999999996</v>
      </c>
      <c r="H317" s="31">
        <v>2.52</v>
      </c>
      <c r="I317" s="28" t="s">
        <v>21</v>
      </c>
    </row>
    <row r="318" spans="1:9" ht="12.5">
      <c r="A318" s="27">
        <v>2775070</v>
      </c>
      <c r="B318" s="28" t="s">
        <v>1034</v>
      </c>
      <c r="C318" s="28" t="s">
        <v>1040</v>
      </c>
      <c r="D318" s="29" t="s">
        <v>4784</v>
      </c>
      <c r="E318" s="28" t="str">
        <f ca="1">IFERROR(__xludf.DUMMYFUNCTION("GOOGLETRANSLATE(D318)"),"Material creation of IT projects to learn to move the hand! Documentation technology and artifacts template of system development")</f>
        <v>Material creation of IT projects to learn to move the hand! Documentation technology and artifacts template of system development</v>
      </c>
      <c r="F318" s="28" t="s">
        <v>4560</v>
      </c>
      <c r="G318" s="30">
        <v>4.3899999999999997</v>
      </c>
      <c r="H318" s="31">
        <v>2.95</v>
      </c>
      <c r="I318" s="28" t="s">
        <v>21</v>
      </c>
    </row>
    <row r="319" spans="1:9" ht="12.5">
      <c r="A319" s="27">
        <v>2776260</v>
      </c>
      <c r="B319" s="28" t="s">
        <v>768</v>
      </c>
      <c r="C319" s="28" t="s">
        <v>792</v>
      </c>
      <c r="D319" s="29" t="s">
        <v>4785</v>
      </c>
      <c r="E319" s="28" t="str">
        <f ca="1">IFERROR(__xludf.DUMMYFUNCTION("GOOGLETRANSLATE(D319)"),"[The first time of statistics] marketing statistical analysis learn Excel &amp; strategy")</f>
        <v>[The first time of statistics] marketing statistical analysis learn Excel &amp; strategy</v>
      </c>
      <c r="F319" s="28" t="s">
        <v>4439</v>
      </c>
      <c r="G319" s="30">
        <v>4.4000000000000004</v>
      </c>
      <c r="H319" s="31">
        <v>4.34</v>
      </c>
      <c r="I319" s="28" t="s">
        <v>72</v>
      </c>
    </row>
    <row r="320" spans="1:9" ht="12.5">
      <c r="A320" s="27">
        <v>2776470</v>
      </c>
      <c r="B320" s="28" t="s">
        <v>768</v>
      </c>
      <c r="C320" s="28" t="s">
        <v>820</v>
      </c>
      <c r="D320" s="29" t="s">
        <v>4786</v>
      </c>
      <c r="E320" s="28" t="str">
        <f ca="1">IFERROR(__xludf.DUMMYFUNCTION("GOOGLETRANSLATE(D320)"),"The first time of the video use (Business ed.)")</f>
        <v>The first time of the video use (Business ed.)</v>
      </c>
      <c r="F320" s="28" t="s">
        <v>4656</v>
      </c>
      <c r="G320" s="30">
        <v>4.1500000000000004</v>
      </c>
      <c r="H320" s="31">
        <v>0.89</v>
      </c>
      <c r="I320" s="28" t="s">
        <v>17</v>
      </c>
    </row>
    <row r="321" spans="1:9" ht="12.5">
      <c r="A321" s="27">
        <v>2776508</v>
      </c>
      <c r="B321" s="28" t="s">
        <v>597</v>
      </c>
      <c r="C321" s="28" t="s">
        <v>604</v>
      </c>
      <c r="D321" s="29" t="s">
        <v>4787</v>
      </c>
      <c r="E321" s="28" t="str">
        <f ca="1">IFERROR(__xludf.DUMMYFUNCTION("GOOGLETRANSLATE(D321)"),"Linux server build Introduction (LinuC level 1 ver. 10 compatible)")</f>
        <v>Linux server build Introduction (LinuC level 1 ver. 10 compatible)</v>
      </c>
      <c r="F321" s="28" t="s">
        <v>4377</v>
      </c>
      <c r="G321" s="30">
        <v>4.0599999999999996</v>
      </c>
      <c r="H321" s="31">
        <v>5.84</v>
      </c>
      <c r="I321" s="28" t="s">
        <v>17</v>
      </c>
    </row>
    <row r="322" spans="1:9" ht="12.5">
      <c r="A322" s="27">
        <v>2785212</v>
      </c>
      <c r="B322" s="28" t="s">
        <v>225</v>
      </c>
      <c r="C322" s="28" t="s">
        <v>235</v>
      </c>
      <c r="D322" s="29" t="s">
        <v>4788</v>
      </c>
      <c r="E322" s="28" t="str">
        <f ca="1">IFERROR(__xludf.DUMMYFUNCTION("GOOGLETRANSLATE(D322)"),"Ultra TypeScript Introduction full pack (2021)")</f>
        <v>Ultra TypeScript Introduction full pack (2021)</v>
      </c>
      <c r="F322" s="28" t="s">
        <v>4695</v>
      </c>
      <c r="G322" s="30">
        <v>4.33</v>
      </c>
      <c r="H322" s="31">
        <v>13.86</v>
      </c>
      <c r="I322" s="28" t="s">
        <v>21</v>
      </c>
    </row>
    <row r="323" spans="1:9" ht="12.5">
      <c r="A323" s="27">
        <v>2789024</v>
      </c>
      <c r="B323" s="28" t="s">
        <v>31</v>
      </c>
      <c r="C323" s="28" t="s">
        <v>32</v>
      </c>
      <c r="D323" s="29" t="s">
        <v>4789</v>
      </c>
      <c r="E323" s="28" t="str">
        <f ca="1">IFERROR(__xludf.DUMMYFUNCTION("GOOGLETRANSLATE(D323)"),"PyTorch Boot Camp: machine learning and data analysis fully capture in Python AI PyTorch")</f>
        <v>PyTorch Boot Camp: machine learning and data analysis fully capture in Python AI PyTorch</v>
      </c>
      <c r="F323" s="28" t="s">
        <v>4790</v>
      </c>
      <c r="G323" s="30">
        <v>4.3899999999999997</v>
      </c>
      <c r="H323" s="31">
        <v>7.55</v>
      </c>
      <c r="I323" s="28" t="s">
        <v>17</v>
      </c>
    </row>
    <row r="324" spans="1:9" ht="12.5">
      <c r="A324" s="27">
        <v>2790296</v>
      </c>
      <c r="B324" s="28" t="s">
        <v>225</v>
      </c>
      <c r="C324" s="28" t="s">
        <v>226</v>
      </c>
      <c r="D324" s="29" t="s">
        <v>4791</v>
      </c>
      <c r="E324" s="28" t="str">
        <f ca="1">IFERROR(__xludf.DUMMYFUNCTION("GOOGLETRANSLATE(D324)"),"[JS] JavaScript mechanism to become a Intermediate from beginner")</f>
        <v>[JS] JavaScript mechanism to become a Intermediate from beginner</v>
      </c>
      <c r="F324" s="28" t="s">
        <v>4743</v>
      </c>
      <c r="G324" s="30">
        <v>4.55</v>
      </c>
      <c r="H324" s="31">
        <v>20.329999999999998</v>
      </c>
      <c r="I324" s="28" t="s">
        <v>21</v>
      </c>
    </row>
    <row r="325" spans="1:9" ht="12.5">
      <c r="A325" s="27">
        <v>2791902</v>
      </c>
      <c r="B325" s="28" t="s">
        <v>225</v>
      </c>
      <c r="C325" s="28" t="s">
        <v>235</v>
      </c>
      <c r="D325" s="29" t="s">
        <v>4792</v>
      </c>
      <c r="E325" s="28" t="str">
        <f ca="1">IFERROR(__xludf.DUMMYFUNCTION("GOOGLETRANSLATE(D325)"),"Trying to master the GraphQL practical introduction to the new API standard to learn in the shortest, the fastest! Server-side CRUD Hen (Node.js)")</f>
        <v>Trying to master the GraphQL practical introduction to the new API standard to learn in the shortest, the fastest! Server-side CRUD Hen (Node.js)</v>
      </c>
      <c r="F325" s="28" t="s">
        <v>4770</v>
      </c>
      <c r="G325" s="30">
        <v>4.29</v>
      </c>
      <c r="H325" s="31">
        <v>0.77</v>
      </c>
      <c r="I325" s="28" t="s">
        <v>21</v>
      </c>
    </row>
    <row r="326" spans="1:9" ht="12.5">
      <c r="A326" s="27">
        <v>2793478</v>
      </c>
      <c r="B326" s="28" t="s">
        <v>597</v>
      </c>
      <c r="C326" s="28" t="s">
        <v>598</v>
      </c>
      <c r="D326" s="29" t="s">
        <v>4793</v>
      </c>
      <c r="E326" s="28" t="str">
        <f ca="1">IFERROR(__xludf.DUMMYFUNCTION("GOOGLETRANSLATE(D326)"),"Being able to practice safe and secure Internet use in the family")</f>
        <v>Being able to practice safe and secure Internet use in the family</v>
      </c>
      <c r="F326" s="28" t="s">
        <v>4656</v>
      </c>
      <c r="G326" s="30">
        <v>4.2</v>
      </c>
      <c r="H326" s="31">
        <v>0.7</v>
      </c>
      <c r="I326" s="28" t="s">
        <v>17</v>
      </c>
    </row>
    <row r="327" spans="1:9" ht="12.5">
      <c r="A327" s="27">
        <v>2793552</v>
      </c>
      <c r="B327" s="28" t="s">
        <v>597</v>
      </c>
      <c r="C327" s="28" t="s">
        <v>598</v>
      </c>
      <c r="D327" s="29" t="s">
        <v>4794</v>
      </c>
      <c r="E327" s="28" t="str">
        <f ca="1">IFERROR(__xludf.DUMMYFUNCTION("GOOGLETRANSLATE(D327)"),"Being able to practice safe and secure Internet use in personal")</f>
        <v>Being able to practice safe and secure Internet use in personal</v>
      </c>
      <c r="F327" s="28" t="s">
        <v>4656</v>
      </c>
      <c r="G327" s="30">
        <v>4</v>
      </c>
      <c r="H327" s="31">
        <v>0.68</v>
      </c>
      <c r="I327" s="28" t="s">
        <v>17</v>
      </c>
    </row>
    <row r="328" spans="1:9" ht="12.5">
      <c r="A328" s="27">
        <v>2801274</v>
      </c>
      <c r="B328" s="28" t="s">
        <v>672</v>
      </c>
      <c r="C328" s="28" t="s">
        <v>695</v>
      </c>
      <c r="D328" s="29" t="s">
        <v>4795</v>
      </c>
      <c r="E328" s="28" t="str">
        <f ca="1">IFERROR(__xludf.DUMMYFUNCTION("GOOGLETRANSLATE(D328)"),"Earlier [Art Thinking (Art thought) introductory course] of design thinking Get over the uncertain VUCA era in innovation!")</f>
        <v>Earlier [Art Thinking (Art thought) introductory course] of design thinking Get over the uncertain VUCA era in innovation!</v>
      </c>
      <c r="F328" s="28" t="s">
        <v>4796</v>
      </c>
      <c r="G328" s="30">
        <v>3.51</v>
      </c>
      <c r="H328" s="31">
        <v>2.12</v>
      </c>
      <c r="I328" s="28" t="s">
        <v>17</v>
      </c>
    </row>
    <row r="329" spans="1:9" ht="12.5">
      <c r="A329" s="27">
        <v>2805765</v>
      </c>
      <c r="B329" s="28" t="s">
        <v>768</v>
      </c>
      <c r="C329" s="28" t="s">
        <v>769</v>
      </c>
      <c r="D329" s="29" t="s">
        <v>4797</v>
      </c>
      <c r="E329" s="28" t="str">
        <f ca="1">IFERROR(__xludf.DUMMYFUNCTION("GOOGLETRANSLATE(D329)"),"Beginners practice course to take advantage of to attract customers to maximize the good of Facebook advertising [list acquisition introductory course using a Facebook ad]")</f>
        <v>Beginners practice course to take advantage of to attract customers to maximize the good of Facebook advertising [list acquisition introductory course using a Facebook ad]</v>
      </c>
      <c r="F329" s="28" t="s">
        <v>4798</v>
      </c>
      <c r="G329" s="30">
        <v>4.5</v>
      </c>
      <c r="H329" s="31">
        <v>4.99</v>
      </c>
      <c r="I329" s="28" t="s">
        <v>17</v>
      </c>
    </row>
    <row r="330" spans="1:9" ht="12.5">
      <c r="A330" s="27">
        <v>2820141</v>
      </c>
      <c r="B330" s="28" t="s">
        <v>225</v>
      </c>
      <c r="C330" s="28" t="s">
        <v>235</v>
      </c>
      <c r="D330" s="29" t="s">
        <v>4799</v>
      </c>
      <c r="E330" s="28" t="str">
        <f ca="1">IFERROR(__xludf.DUMMYFUNCTION("GOOGLETRANSLATE(D330)"),"Learn in the shortest, fastest Firebase Hosting + React Todo App Implementation Hen (React Hooks)")</f>
        <v>Learn in the shortest, fastest Firebase Hosting + React Todo App Implementation Hen (React Hooks)</v>
      </c>
      <c r="F330" s="28" t="s">
        <v>4770</v>
      </c>
      <c r="G330" s="30">
        <v>3.54</v>
      </c>
      <c r="H330" s="31">
        <v>1</v>
      </c>
      <c r="I330" s="28" t="s">
        <v>21</v>
      </c>
    </row>
    <row r="331" spans="1:9" ht="12.5">
      <c r="A331" s="27">
        <v>2824251</v>
      </c>
      <c r="B331" s="28" t="s">
        <v>1034</v>
      </c>
      <c r="C331" s="28" t="s">
        <v>1035</v>
      </c>
      <c r="D331" s="29" t="s">
        <v>4800</v>
      </c>
      <c r="E331" s="28" t="str">
        <f ca="1">IFERROR(__xludf.DUMMYFUNCTION("GOOGLETRANSLATE(D331)"),"Agile development to teach the active Silicon Valley engineers")</f>
        <v>Agile development to teach the active Silicon Valley engineers</v>
      </c>
      <c r="F331" s="28" t="s">
        <v>4424</v>
      </c>
      <c r="G331" s="30">
        <v>4.4400000000000004</v>
      </c>
      <c r="H331" s="31">
        <v>8.77</v>
      </c>
      <c r="I331" s="28" t="s">
        <v>17</v>
      </c>
    </row>
    <row r="332" spans="1:9" ht="12.5">
      <c r="A332" s="27">
        <v>2825451</v>
      </c>
      <c r="B332" s="28" t="s">
        <v>672</v>
      </c>
      <c r="C332" s="28" t="s">
        <v>695</v>
      </c>
      <c r="D332" s="29" t="s">
        <v>4801</v>
      </c>
      <c r="E332" s="28" t="str">
        <f ca="1">IFERROR(__xludf.DUMMYFUNCTION("GOOGLETRANSLATE(D332)"),"[Diamond editing unit is carefully selected, ultra-Basics! ] Thinking and 10 of the framework to increase the creativity of your team")</f>
        <v>[Diamond editing unit is carefully selected, ultra-Basics! ] Thinking and 10 of the framework to increase the creativity of your team</v>
      </c>
      <c r="F332" s="28" t="s">
        <v>4802</v>
      </c>
      <c r="G332" s="30">
        <v>3.51</v>
      </c>
      <c r="H332" s="31">
        <v>2.2000000000000002</v>
      </c>
      <c r="I332" s="28" t="s">
        <v>17</v>
      </c>
    </row>
    <row r="333" spans="1:9" ht="12.5">
      <c r="A333" s="27">
        <v>2834472</v>
      </c>
      <c r="B333" s="28" t="s">
        <v>864</v>
      </c>
      <c r="C333" s="28" t="s">
        <v>865</v>
      </c>
      <c r="D333" s="29" t="s">
        <v>4803</v>
      </c>
      <c r="E333" s="28" t="str">
        <f ca="1">IFERROR(__xludf.DUMMYFUNCTION("GOOGLETRANSLATE(D333)"),"Textbook of PC work faster (Windows10) 10 time reduction technique of, faster 13 set, trying to learn a semi-automated in command at 120 minutes")</f>
        <v>Textbook of PC work faster (Windows10) 10 time reduction technique of, faster 13 set, trying to learn a semi-automated in command at 120 minutes</v>
      </c>
      <c r="F333" s="28" t="s">
        <v>4366</v>
      </c>
      <c r="G333" s="30">
        <v>4.24</v>
      </c>
      <c r="H333" s="31">
        <v>2.06</v>
      </c>
      <c r="I333" s="28" t="s">
        <v>17</v>
      </c>
    </row>
    <row r="334" spans="1:9" ht="12.5">
      <c r="A334" s="27">
        <v>2844258</v>
      </c>
      <c r="B334" s="28" t="s">
        <v>1034</v>
      </c>
      <c r="C334" s="28" t="s">
        <v>1043</v>
      </c>
      <c r="D334" s="29" t="s">
        <v>4804</v>
      </c>
      <c r="E334" s="28" t="str">
        <f ca="1">IFERROR(__xludf.DUMMYFUNCTION("GOOGLETRANSLATE(D334)"),"Aiming to one shot passed the ""PMP® certification exam!"" Practical problem exercises course all 100 questions for the test Cheats (2020)")</f>
        <v>Aiming to one shot passed the "PMP® certification exam!" Practical problem exercises course all 100 questions for the test Cheats (2020)</v>
      </c>
      <c r="F334" s="28" t="s">
        <v>4776</v>
      </c>
      <c r="G334" s="30">
        <v>4.3499999999999996</v>
      </c>
      <c r="H334" s="31">
        <v>0.68</v>
      </c>
      <c r="I334" s="28" t="s">
        <v>72</v>
      </c>
    </row>
    <row r="335" spans="1:9" ht="12.5">
      <c r="A335" s="27">
        <v>2844292</v>
      </c>
      <c r="B335" s="28" t="s">
        <v>864</v>
      </c>
      <c r="C335" s="28" t="s">
        <v>865</v>
      </c>
      <c r="D335" s="29" t="s">
        <v>4805</v>
      </c>
      <c r="E335" s="28" t="str">
        <f ca="1">IFERROR(__xludf.DUMMYFUNCTION("GOOGLETRANSLATE(D335)"),"[ALL in ONE] learning to get to the only high-performance Excel skills fully master course / 11 hours to your immediate use!")</f>
        <v>[ALL in ONE] learning to get to the only high-performance Excel skills fully master course / 11 hours to your immediate use!</v>
      </c>
      <c r="F335" s="28" t="s">
        <v>4360</v>
      </c>
      <c r="G335" s="30">
        <v>4.54</v>
      </c>
      <c r="H335" s="31">
        <v>11.59</v>
      </c>
      <c r="I335" s="28" t="s">
        <v>21</v>
      </c>
    </row>
    <row r="336" spans="1:9" ht="12.5">
      <c r="A336" s="27">
        <v>2845708</v>
      </c>
      <c r="B336" s="28" t="s">
        <v>672</v>
      </c>
      <c r="C336" s="28" t="s">
        <v>681</v>
      </c>
      <c r="D336" s="29" t="s">
        <v>4806</v>
      </c>
      <c r="E336" s="28" t="str">
        <f ca="1">IFERROR(__xludf.DUMMYFUNCTION("GOOGLETRANSLATE(D336)"),"It seems to want to go with this Reader! ""Leadership Theory"" An Introduction")</f>
        <v>It seems to want to go with this Reader! "Leadership Theory" An Introduction</v>
      </c>
      <c r="F336" s="28" t="s">
        <v>4807</v>
      </c>
      <c r="G336" s="30">
        <v>4.22</v>
      </c>
      <c r="H336" s="31">
        <v>2.83</v>
      </c>
      <c r="I336" s="28" t="s">
        <v>21</v>
      </c>
    </row>
    <row r="337" spans="1:9" ht="12.5">
      <c r="A337" s="27">
        <v>2845914</v>
      </c>
      <c r="B337" s="28" t="s">
        <v>225</v>
      </c>
      <c r="C337" s="28" t="s">
        <v>288</v>
      </c>
      <c r="D337" s="29" t="s">
        <v>4808</v>
      </c>
      <c r="E337" s="28" t="str">
        <f ca="1">IFERROR(__xludf.DUMMYFUNCTION("GOOGLETRANSLATE(D337)"),"This alone SQL master! Courses to master all of the business data analysis which made full use of the SQL from zero (AWS MySQL)")</f>
        <v>This alone SQL master! Courses to master all of the business data analysis which made full use of the SQL from zero (AWS MySQL)</v>
      </c>
      <c r="F337" s="28" t="s">
        <v>4809</v>
      </c>
      <c r="G337" s="30">
        <v>4.12</v>
      </c>
      <c r="H337" s="31">
        <v>9.15</v>
      </c>
      <c r="I337" s="28" t="s">
        <v>17</v>
      </c>
    </row>
    <row r="338" spans="1:9" ht="12.5">
      <c r="A338" s="27">
        <v>2860644</v>
      </c>
      <c r="B338" s="28" t="s">
        <v>672</v>
      </c>
      <c r="C338" s="28" t="s">
        <v>695</v>
      </c>
      <c r="D338" s="29" t="s">
        <v>4810</v>
      </c>
      <c r="E338" s="28" t="str">
        <f ca="1">IFERROR(__xludf.DUMMYFUNCTION("GOOGLETRANSLATE(D338)"),"Planning passes! VP canvas ~ [design thinking Vol.2] to create value even in How to make novice ""concept"" to be selected")</f>
        <v>Planning passes! VP canvas ~ [design thinking Vol.2] to create value even in How to make novice "concept" to be selected</v>
      </c>
      <c r="F338" s="28" t="s">
        <v>4738</v>
      </c>
      <c r="G338" s="30">
        <v>4.09</v>
      </c>
      <c r="H338" s="31">
        <v>3.07</v>
      </c>
      <c r="I338" s="28" t="s">
        <v>17</v>
      </c>
    </row>
    <row r="339" spans="1:9" ht="12.5">
      <c r="A339" s="27">
        <v>2860694</v>
      </c>
      <c r="B339" s="28" t="s">
        <v>31</v>
      </c>
      <c r="C339" s="28" t="s">
        <v>32</v>
      </c>
      <c r="D339" s="29" t="s">
        <v>4811</v>
      </c>
      <c r="E339" s="28" t="str">
        <f ca="1">IFERROR(__xludf.DUMMYFUNCTION("GOOGLETRANSLATE(D339)"),"[700,000 people worldwide students] learn from theory and practice all with Python Machine Learning")</f>
        <v>[700,000 people worldwide students] learn from theory and practice all with Python Machine Learning</v>
      </c>
      <c r="F339" s="28" t="s">
        <v>4812</v>
      </c>
      <c r="G339" s="30">
        <v>4.3</v>
      </c>
      <c r="H339" s="31">
        <v>22.1</v>
      </c>
      <c r="I339" s="28" t="s">
        <v>21</v>
      </c>
    </row>
    <row r="340" spans="1:9" ht="12.5">
      <c r="A340" s="27">
        <v>2878324</v>
      </c>
      <c r="B340" s="28" t="s">
        <v>864</v>
      </c>
      <c r="C340" s="28" t="s">
        <v>865</v>
      </c>
      <c r="D340" s="29" t="s">
        <v>4813</v>
      </c>
      <c r="E340" s="28" t="str">
        <f ca="1">IFERROR(__xludf.DUMMYFUNCTION("GOOGLETRANSLATE(D340)"),"To Excel shortcut dojo to 3 times faster work seven ""type"" 240 minutes training the skills get to only be repeated earnestly")</f>
        <v>To Excel shortcut dojo to 3 times faster work seven "type" 240 minutes training the skills get to only be repeated earnestly</v>
      </c>
      <c r="F340" s="28" t="s">
        <v>4360</v>
      </c>
      <c r="G340" s="30">
        <v>4.4800000000000004</v>
      </c>
      <c r="H340" s="31">
        <v>4.03</v>
      </c>
      <c r="I340" s="28" t="s">
        <v>17</v>
      </c>
    </row>
    <row r="341" spans="1:9" ht="12.5">
      <c r="A341" s="27">
        <v>2881374</v>
      </c>
      <c r="B341" s="28" t="s">
        <v>597</v>
      </c>
      <c r="C341" s="28" t="s">
        <v>598</v>
      </c>
      <c r="D341" s="29" t="s">
        <v>4814</v>
      </c>
      <c r="E341" s="28" t="str">
        <f ca="1">IFERROR(__xludf.DUMMYFUNCTION("GOOGLETRANSLATE(D341)"),"Beginner aimed at network engineers found Be the first to start from here! Thoroughly discussed in ""network foundation to learn from zero"" rich illustration")</f>
        <v>Beginner aimed at network engineers found Be the first to start from here! Thoroughly discussed in "network foundation to learn from zero" rich illustration</v>
      </c>
      <c r="F341" s="28" t="s">
        <v>4815</v>
      </c>
      <c r="G341" s="30">
        <v>4.38</v>
      </c>
      <c r="H341" s="31">
        <v>6.47</v>
      </c>
      <c r="I341" s="28" t="s">
        <v>17</v>
      </c>
    </row>
    <row r="342" spans="1:9" ht="12.5">
      <c r="A342" s="27">
        <v>2891862</v>
      </c>
      <c r="B342" s="28" t="s">
        <v>597</v>
      </c>
      <c r="C342" s="28" t="s">
        <v>598</v>
      </c>
      <c r="D342" s="29" t="s">
        <v>4816</v>
      </c>
      <c r="E342" s="28" t="str">
        <f ca="1">IFERROR(__xludf.DUMMYFUNCTION("GOOGLETRANSLATE(D342)"),"Security Primer (information security management test level)")</f>
        <v>Security Primer (information security management test level)</v>
      </c>
      <c r="F342" s="28" t="s">
        <v>4817</v>
      </c>
      <c r="G342" s="30">
        <v>3.99</v>
      </c>
      <c r="H342" s="31">
        <v>2.3199999999999998</v>
      </c>
      <c r="I342" s="28" t="s">
        <v>17</v>
      </c>
    </row>
    <row r="343" spans="1:9" ht="12.5">
      <c r="A343" s="27">
        <v>2897780</v>
      </c>
      <c r="B343" s="28" t="s">
        <v>597</v>
      </c>
      <c r="C343" s="28" t="s">
        <v>601</v>
      </c>
      <c r="D343" s="29" t="s">
        <v>4818</v>
      </c>
      <c r="E343" s="28" t="str">
        <f ca="1">IFERROR(__xludf.DUMMYFUNCTION("GOOGLETRANSLATE(D343)"),"AWS certification SysOps Administrator Associate practice exam collection of problems (all 4 times 260 questions)")</f>
        <v>AWS certification SysOps Administrator Associate practice exam collection of problems (all 4 times 260 questions)</v>
      </c>
      <c r="F343" s="28" t="s">
        <v>4809</v>
      </c>
      <c r="G343" s="30">
        <v>3.92</v>
      </c>
      <c r="H343" s="31"/>
      <c r="I343" s="28" t="s">
        <v>72</v>
      </c>
    </row>
    <row r="344" spans="1:9" ht="12.5">
      <c r="A344" s="27">
        <v>2901950</v>
      </c>
      <c r="B344" s="28" t="s">
        <v>597</v>
      </c>
      <c r="C344" s="28" t="s">
        <v>601</v>
      </c>
      <c r="D344" s="29" t="s">
        <v>4819</v>
      </c>
      <c r="E344" s="28" t="str">
        <f ca="1">IFERROR(__xludf.DUMMYFUNCTION("GOOGLETRANSLATE(D344)"),"- from IT passport fastest pass course - 0 in an efficient learning to pass")</f>
        <v>- from IT passport fastest pass course - 0 in an efficient learning to pass</v>
      </c>
      <c r="F344" s="28" t="s">
        <v>4609</v>
      </c>
      <c r="G344" s="30">
        <v>4.4400000000000004</v>
      </c>
      <c r="H344" s="31">
        <v>4.1900000000000004</v>
      </c>
      <c r="I344" s="28" t="s">
        <v>17</v>
      </c>
    </row>
    <row r="345" spans="1:9" ht="12.5">
      <c r="A345" s="27">
        <v>2931610</v>
      </c>
      <c r="B345" s="28" t="s">
        <v>597</v>
      </c>
      <c r="C345" s="28" t="s">
        <v>601</v>
      </c>
      <c r="D345" s="29" t="s">
        <v>4820</v>
      </c>
      <c r="E345" s="28" t="str">
        <f ca="1">IFERROR(__xludf.DUMMYFUNCTION("GOOGLETRANSLATE(D345)"),"■ LPI Linux Essentials (Essential) qualification course (LPI certified)")</f>
        <v>■ LPI Linux Essentials (Essential) qualification course (LPI certified)</v>
      </c>
      <c r="F345" s="28" t="s">
        <v>4821</v>
      </c>
      <c r="G345" s="30">
        <v>4.3499999999999996</v>
      </c>
      <c r="H345" s="31">
        <v>2.9</v>
      </c>
      <c r="I345" s="28" t="s">
        <v>17</v>
      </c>
    </row>
    <row r="346" spans="1:9" ht="12.5">
      <c r="A346" s="27">
        <v>2933896</v>
      </c>
      <c r="B346" s="28" t="s">
        <v>225</v>
      </c>
      <c r="C346" s="28" t="s">
        <v>235</v>
      </c>
      <c r="D346" s="29" t="s">
        <v>4822</v>
      </c>
      <c r="E346" s="28" t="str">
        <f ca="1">IFERROR(__xludf.DUMMYFUNCTION("GOOGLETRANSLATE(D346)"),"Development of FX of Shisutore Fintech apps in Python to teach the active Silicon Valley engineers")</f>
        <v>Development of FX of Shisutore Fintech apps in Python to teach the active Silicon Valley engineers</v>
      </c>
      <c r="F346" s="28" t="s">
        <v>4424</v>
      </c>
      <c r="G346" s="30">
        <v>4.53</v>
      </c>
      <c r="H346" s="31">
        <v>9.25</v>
      </c>
      <c r="I346" s="28" t="s">
        <v>17</v>
      </c>
    </row>
    <row r="347" spans="1:9" ht="12.5">
      <c r="A347" s="27">
        <v>2936742</v>
      </c>
      <c r="B347" s="28" t="s">
        <v>225</v>
      </c>
      <c r="C347" s="28" t="s">
        <v>226</v>
      </c>
      <c r="D347" s="29" t="s">
        <v>4823</v>
      </c>
      <c r="E347" s="28" t="str">
        <f ca="1">IFERROR(__xludf.DUMMYFUNCTION("GOOGLETRANSLATE(D347)"),"This only know all right if! Introduction to Programming previous basic knowledge")</f>
        <v>This only know all right if! Introduction to Programming previous basic knowledge</v>
      </c>
      <c r="F347" s="28" t="s">
        <v>4481</v>
      </c>
      <c r="G347" s="30">
        <v>4.1399999999999997</v>
      </c>
      <c r="H347" s="31">
        <v>8.43</v>
      </c>
      <c r="I347" s="28" t="s">
        <v>17</v>
      </c>
    </row>
    <row r="348" spans="1:9" ht="12.5">
      <c r="A348" s="27">
        <v>2948214</v>
      </c>
      <c r="B348" s="28" t="s">
        <v>225</v>
      </c>
      <c r="C348" s="28" t="s">
        <v>226</v>
      </c>
      <c r="D348" s="29" t="s">
        <v>4824</v>
      </c>
      <c r="E348" s="28" t="str">
        <f ca="1">IFERROR(__xludf.DUMMYFUNCTION("GOOGLETRANSLATE(D348)"),"Web help business by Python scraping (BeautifulSoup, Selenium, Requests)")</f>
        <v>Web help business by Python scraping (BeautifulSoup, Selenium, Requests)</v>
      </c>
      <c r="F348" s="28" t="s">
        <v>4825</v>
      </c>
      <c r="G348" s="30">
        <v>4.2699999999999996</v>
      </c>
      <c r="H348" s="31">
        <v>8.14</v>
      </c>
      <c r="I348" s="28" t="s">
        <v>21</v>
      </c>
    </row>
    <row r="349" spans="1:9" ht="12.5">
      <c r="A349" s="27">
        <v>2963154</v>
      </c>
      <c r="B349" s="28" t="s">
        <v>12</v>
      </c>
      <c r="C349" s="28" t="s">
        <v>24</v>
      </c>
      <c r="D349" s="29" t="s">
        <v>4826</v>
      </c>
      <c r="E349" s="28" t="str">
        <f ca="1">IFERROR(__xludf.DUMMYFUNCTION("GOOGLETRANSLATE(D349)"),"[GCP accreditation qualification] Google Cloud Platform Associate Cloud Engineer simulated problem sets")</f>
        <v>[GCP accreditation qualification] Google Cloud Platform Associate Cloud Engineer simulated problem sets</v>
      </c>
      <c r="F349" s="28" t="s">
        <v>4827</v>
      </c>
      <c r="G349" s="30">
        <v>4.18</v>
      </c>
      <c r="H349" s="31"/>
      <c r="I349" s="28" t="s">
        <v>17</v>
      </c>
    </row>
    <row r="350" spans="1:9" ht="12.5">
      <c r="A350" s="27">
        <v>2966640</v>
      </c>
      <c r="B350" s="28" t="s">
        <v>225</v>
      </c>
      <c r="C350" s="28" t="s">
        <v>288</v>
      </c>
      <c r="D350" s="29" t="s">
        <v>4828</v>
      </c>
      <c r="E350" s="28" t="str">
        <f ca="1">IFERROR(__xludf.DUMMYFUNCTION("GOOGLETRANSLATE(D350)"),"Silicon Valley engineers supervision! GAFA data structure coding test Getting Started in Java &amp; Python [friendly with Figure commentary]")</f>
        <v>Silicon Valley engineers supervision! GAFA data structure coding test Getting Started in Java &amp; Python [friendly with Figure commentary]</v>
      </c>
      <c r="F350" s="28" t="s">
        <v>4829</v>
      </c>
      <c r="G350" s="30">
        <v>4.5599999999999996</v>
      </c>
      <c r="H350" s="31">
        <v>5.38</v>
      </c>
      <c r="I350" s="28" t="s">
        <v>17</v>
      </c>
    </row>
    <row r="351" spans="1:9" ht="12.5">
      <c r="A351" s="27">
        <v>3062354</v>
      </c>
      <c r="B351" s="28" t="s">
        <v>557</v>
      </c>
      <c r="C351" s="28" t="s">
        <v>561</v>
      </c>
      <c r="D351" s="29" t="s">
        <v>4830</v>
      </c>
      <c r="E351" s="28" t="str">
        <f ca="1">IFERROR(__xludf.DUMMYFUNCTION("GOOGLETRANSLATE(D351)"),"The first time of financial analysis (Introduction) - Financial three tables (B / S, P / L, C / S) will Osaeyo the structure of! Simple to grasp the essence in 4 hours")</f>
        <v>The first time of financial analysis (Introduction) - Financial three tables (B / S, P / L, C / S) will Osaeyo the structure of! Simple to grasp the essence in 4 hours</v>
      </c>
      <c r="F351" s="28" t="s">
        <v>4831</v>
      </c>
      <c r="G351" s="30">
        <v>4.1900000000000004</v>
      </c>
      <c r="H351" s="31">
        <v>4.1399999999999997</v>
      </c>
      <c r="I351" s="28" t="s">
        <v>17</v>
      </c>
    </row>
    <row r="352" spans="1:9" ht="12.5">
      <c r="A352" s="27">
        <v>3067008</v>
      </c>
      <c r="B352" s="28" t="s">
        <v>597</v>
      </c>
      <c r="C352" s="28" t="s">
        <v>601</v>
      </c>
      <c r="D352" s="29" t="s">
        <v>4832</v>
      </c>
      <c r="E352" s="28" t="str">
        <f ca="1">IFERROR(__xludf.DUMMYFUNCTION("GOOGLETRANSLATE(D352)"),"[Learn in practice format ""data analysis practical skills test (CBAS)"" road to pass (courses aim a high score in the data analysis practical skills prove qualification)")</f>
        <v>[Learn in practice format "data analysis practical skills test (CBAS)" road to pass (courses aim a high score in the data analysis practical skills prove qualification)</v>
      </c>
      <c r="F352" s="28" t="s">
        <v>4833</v>
      </c>
      <c r="G352" s="30">
        <v>4.2300000000000004</v>
      </c>
      <c r="H352" s="31">
        <v>5.34</v>
      </c>
      <c r="I352" s="28" t="s">
        <v>72</v>
      </c>
    </row>
    <row r="353" spans="1:9" ht="12.5">
      <c r="A353" s="27">
        <v>3067230</v>
      </c>
      <c r="B353" s="28" t="s">
        <v>225</v>
      </c>
      <c r="C353" s="28" t="s">
        <v>229</v>
      </c>
      <c r="D353" s="29" t="s">
        <v>4834</v>
      </c>
      <c r="E353" s="28" t="str">
        <f ca="1">IFERROR(__xludf.DUMMYFUNCTION("GOOGLETRANSLATE(D353)"),"[Electronic tools unnecessary] Raspberry Pi and infectious diseases in Python measures ~ IoT ventilation monitoring course -")</f>
        <v>[Electronic tools unnecessary] Raspberry Pi and infectious diseases in Python measures ~ IoT ventilation monitoring course -</v>
      </c>
      <c r="F353" s="28" t="s">
        <v>4701</v>
      </c>
      <c r="G353" s="30">
        <v>4.3600000000000003</v>
      </c>
      <c r="H353" s="31">
        <v>1.86</v>
      </c>
      <c r="I353" s="28" t="s">
        <v>17</v>
      </c>
    </row>
    <row r="354" spans="1:9" ht="12.5">
      <c r="A354" s="27">
        <v>3070816</v>
      </c>
      <c r="B354" s="28" t="s">
        <v>225</v>
      </c>
      <c r="C354" s="28" t="s">
        <v>235</v>
      </c>
      <c r="D354" s="29" t="s">
        <v>4835</v>
      </c>
      <c r="E354" s="28" t="str">
        <f ca="1">IFERROR(__xludf.DUMMYFUNCTION("GOOGLETRANSLATE(D354)"),"Full-stack Web development in the Fundamentals] React Hooks + Django REST Framework API")</f>
        <v>Full-stack Web development in the Fundamentals] React Hooks + Django REST Framework API</v>
      </c>
      <c r="F354" s="28" t="s">
        <v>4790</v>
      </c>
      <c r="G354" s="30">
        <v>4.3499999999999996</v>
      </c>
      <c r="H354" s="31">
        <v>5.35</v>
      </c>
      <c r="I354" s="28" t="s">
        <v>17</v>
      </c>
    </row>
    <row r="355" spans="1:9" ht="12.5">
      <c r="A355" s="27">
        <v>3075692</v>
      </c>
      <c r="B355" s="28" t="s">
        <v>225</v>
      </c>
      <c r="C355" s="28" t="s">
        <v>226</v>
      </c>
      <c r="D355" s="29" t="s">
        <v>4836</v>
      </c>
      <c r="E355" s="28" t="str">
        <f ca="1">IFERROR(__xludf.DUMMYFUNCTION("GOOGLETRANSLATE(D355)"),"Python Design pattern master course - Basic grammar of Python, coding standards, naming conventions, programming techniques -")</f>
        <v>Python Design pattern master course - Basic grammar of Python, coding standards, naming conventions, programming techniques -</v>
      </c>
      <c r="F355" s="28" t="s">
        <v>4596</v>
      </c>
      <c r="G355" s="30">
        <v>4.28</v>
      </c>
      <c r="H355" s="31">
        <v>20.62</v>
      </c>
      <c r="I355" s="28" t="s">
        <v>17</v>
      </c>
    </row>
    <row r="356" spans="1:9" ht="12.5">
      <c r="A356" s="27">
        <v>3076340</v>
      </c>
      <c r="B356" s="28" t="s">
        <v>12</v>
      </c>
      <c r="C356" s="28" t="s">
        <v>13</v>
      </c>
      <c r="D356" s="29" t="s">
        <v>4837</v>
      </c>
      <c r="E356" s="28" t="str">
        <f ca="1">IFERROR(__xludf.DUMMYFUNCTION("GOOGLETRANSLATE(D356)"),"Learn the fastest - Google Cloud Platform (GCP) introductory fully capture course")</f>
        <v>Learn the fastest - Google Cloud Platform (GCP) introductory fully capture course</v>
      </c>
      <c r="F356" s="28" t="s">
        <v>4428</v>
      </c>
      <c r="G356" s="30">
        <v>4.32</v>
      </c>
      <c r="H356" s="31">
        <v>5.98</v>
      </c>
      <c r="I356" s="28" t="s">
        <v>17</v>
      </c>
    </row>
    <row r="357" spans="1:9" ht="12.5">
      <c r="A357" s="27">
        <v>3098304</v>
      </c>
      <c r="B357" s="28" t="s">
        <v>672</v>
      </c>
      <c r="C357" s="28" t="s">
        <v>695</v>
      </c>
      <c r="D357" s="29" t="s">
        <v>4838</v>
      </c>
      <c r="E357" s="28" t="str">
        <f ca="1">IFERROR(__xludf.DUMMYFUNCTION("GOOGLETRANSLATE(D357)"),"Learn in [digital transformation] cases and theory, basic knowledge and strategy theory of DX")</f>
        <v>Learn in [digital transformation] cases and theory, basic knowledge and strategy theory of DX</v>
      </c>
      <c r="F357" s="28" t="s">
        <v>4839</v>
      </c>
      <c r="G357" s="30">
        <v>4.1500000000000004</v>
      </c>
      <c r="H357" s="31">
        <v>8.4700000000000006</v>
      </c>
      <c r="I357" s="28" t="s">
        <v>17</v>
      </c>
    </row>
    <row r="358" spans="1:9" ht="12.5">
      <c r="A358" s="27">
        <v>3129964</v>
      </c>
      <c r="B358" s="28" t="s">
        <v>672</v>
      </c>
      <c r="C358" s="28" t="s">
        <v>673</v>
      </c>
      <c r="D358" s="29" t="s">
        <v>4840</v>
      </c>
      <c r="E358" s="28" t="str">
        <f ca="1">IFERROR(__xludf.DUMMYFUNCTION("GOOGLETRANSLATE(D358)"),"Company building seminar is not to stop the ~ employees to enhance the engagement eliminates the ~ turnover")</f>
        <v>Company building seminar is not to stop the ~ employees to enhance the engagement eliminates the ~ turnover</v>
      </c>
      <c r="F358" s="28" t="s">
        <v>4759</v>
      </c>
      <c r="G358" s="30">
        <v>4.18</v>
      </c>
      <c r="H358" s="31">
        <v>2.21</v>
      </c>
      <c r="I358" s="28" t="s">
        <v>21</v>
      </c>
    </row>
    <row r="359" spans="1:9" ht="12.5">
      <c r="A359" s="27">
        <v>3131012</v>
      </c>
      <c r="B359" s="28" t="s">
        <v>672</v>
      </c>
      <c r="C359" s="28" t="s">
        <v>695</v>
      </c>
      <c r="D359" s="29" t="s">
        <v>4841</v>
      </c>
      <c r="E359" s="28" t="str">
        <f ca="1">IFERROR(__xludf.DUMMYFUNCTION("GOOGLETRANSLATE(D359)"),"Digital transformation starting from today! From technology mechanism to how to make data utilization foundation")</f>
        <v>Digital transformation starting from today! From technology mechanism to how to make data utilization foundation</v>
      </c>
      <c r="F359" s="28" t="s">
        <v>4560</v>
      </c>
      <c r="G359" s="30">
        <v>4.16</v>
      </c>
      <c r="H359" s="31">
        <v>2.46</v>
      </c>
      <c r="I359" s="28" t="s">
        <v>17</v>
      </c>
    </row>
    <row r="360" spans="1:9" ht="12.5">
      <c r="A360" s="27">
        <v>3140714</v>
      </c>
      <c r="B360" s="28" t="s">
        <v>672</v>
      </c>
      <c r="C360" s="28" t="s">
        <v>695</v>
      </c>
      <c r="D360" s="29" t="s">
        <v>4842</v>
      </c>
      <c r="E360" s="28" t="str">
        <f ca="1">IFERROR(__xludf.DUMMYFUNCTION("GOOGLETRANSLATE(D360)"),"Consider moving the hand! DX strategy and business model (Grand Design ed.)")</f>
        <v>Consider moving the hand! DX strategy and business model (Grand Design ed.)</v>
      </c>
      <c r="F360" s="28" t="s">
        <v>4843</v>
      </c>
      <c r="G360" s="30">
        <v>4.1100000000000003</v>
      </c>
      <c r="H360" s="31">
        <v>5.0599999999999996</v>
      </c>
      <c r="I360" s="28" t="s">
        <v>21</v>
      </c>
    </row>
    <row r="361" spans="1:9" ht="12.5">
      <c r="A361" s="27">
        <v>3153598</v>
      </c>
      <c r="B361" s="28" t="s">
        <v>225</v>
      </c>
      <c r="C361" s="28" t="s">
        <v>235</v>
      </c>
      <c r="D361" s="29" t="s">
        <v>4844</v>
      </c>
      <c r="E361" s="28" t="str">
        <f ca="1">IFERROR(__xludf.DUMMYFUNCTION("GOOGLETRANSLATE(D361)"),"Youtube clone app React · React Hooks edited to create the shortest, fastest")</f>
        <v>Youtube clone app React · React Hooks edited to create the shortest, fastest</v>
      </c>
      <c r="F361" s="28" t="s">
        <v>4770</v>
      </c>
      <c r="G361" s="30">
        <v>4.3600000000000003</v>
      </c>
      <c r="H361" s="31">
        <v>2.2799999999999998</v>
      </c>
      <c r="I361" s="28" t="s">
        <v>72</v>
      </c>
    </row>
    <row r="362" spans="1:9" ht="12.5">
      <c r="A362" s="27">
        <v>3156278</v>
      </c>
      <c r="B362" s="28" t="s">
        <v>864</v>
      </c>
      <c r="C362" s="28" t="s">
        <v>905</v>
      </c>
      <c r="D362" s="29" t="s">
        <v>4845</v>
      </c>
      <c r="E362" s="28" t="str">
        <f ca="1">IFERROR(__xludf.DUMMYFUNCTION("GOOGLETRANSLATE(D362)"),"Achieve results in the work of the ""super telework work surgery"" four days a week of corona era, remote work advanced enterprises of productivity up surgery 160 minutes course")</f>
        <v>Achieve results in the work of the "super telework work surgery" four days a week of corona era, remote work advanced enterprises of productivity up surgery 160 minutes course</v>
      </c>
      <c r="F362" s="28" t="s">
        <v>4738</v>
      </c>
      <c r="G362" s="30">
        <v>4.05</v>
      </c>
      <c r="H362" s="31">
        <v>2.84</v>
      </c>
      <c r="I362" s="28" t="s">
        <v>21</v>
      </c>
    </row>
    <row r="363" spans="1:9" ht="12.5">
      <c r="A363" s="27">
        <v>3157054</v>
      </c>
      <c r="B363" s="28" t="s">
        <v>31</v>
      </c>
      <c r="C363" s="28" t="s">
        <v>32</v>
      </c>
      <c r="D363" s="29" t="s">
        <v>4846</v>
      </c>
      <c r="E363" s="28" t="str">
        <f ca="1">IFERROR(__xludf.DUMMYFUNCTION("GOOGLETRANSLATE(D363)"),"Basic image processing: filtering, from the pattern recognition to the imaging process model")</f>
        <v>Basic image processing: filtering, from the pattern recognition to the imaging process model</v>
      </c>
      <c r="F363" s="28" t="s">
        <v>4347</v>
      </c>
      <c r="G363" s="30">
        <v>4.3499999999999996</v>
      </c>
      <c r="H363" s="31">
        <v>26.81</v>
      </c>
      <c r="I363" s="28" t="s">
        <v>72</v>
      </c>
    </row>
    <row r="364" spans="1:9" ht="12.5">
      <c r="A364" s="27">
        <v>3160380</v>
      </c>
      <c r="B364" s="28" t="s">
        <v>225</v>
      </c>
      <c r="C364" s="28" t="s">
        <v>235</v>
      </c>
      <c r="D364" s="29" t="s">
        <v>4847</v>
      </c>
      <c r="E364" s="28" t="str">
        <f ca="1">IFERROR(__xludf.DUMMYFUNCTION("GOOGLETRANSLATE(D364)"),"Full-stack Web development at [SNS ed] React Hooks + Django RestFramework API")</f>
        <v>Full-stack Web development at [SNS ed] React Hooks + Django RestFramework API</v>
      </c>
      <c r="F364" s="28" t="s">
        <v>4790</v>
      </c>
      <c r="G364" s="30">
        <v>3.74</v>
      </c>
      <c r="H364" s="31">
        <v>8.34</v>
      </c>
      <c r="I364" s="28" t="s">
        <v>72</v>
      </c>
    </row>
    <row r="365" spans="1:9" ht="12.5">
      <c r="A365" s="27">
        <v>3176920</v>
      </c>
      <c r="B365" s="28" t="s">
        <v>672</v>
      </c>
      <c r="C365" s="28" t="s">
        <v>681</v>
      </c>
      <c r="D365" s="29" t="s">
        <v>4848</v>
      </c>
      <c r="E365" s="28" t="str">
        <f ca="1">IFERROR(__xludf.DUMMYFUNCTION("GOOGLETRANSLATE(D365)"),"&lt;In fact, only this management&gt; polish the human power and skill of the people who stand in manager training course - on to put out the results in the organization -")</f>
        <v>&lt;In fact, only this management&gt; polish the human power and skill of the people who stand in manager training course - on to put out the results in the organization -</v>
      </c>
      <c r="F365" s="28" t="s">
        <v>4849</v>
      </c>
      <c r="G365" s="30">
        <v>4.4400000000000004</v>
      </c>
      <c r="H365" s="31">
        <v>3.09</v>
      </c>
      <c r="I365" s="28" t="s">
        <v>21</v>
      </c>
    </row>
    <row r="366" spans="1:9" ht="12.5">
      <c r="A366" s="27">
        <v>3181272</v>
      </c>
      <c r="B366" s="28" t="s">
        <v>672</v>
      </c>
      <c r="C366" s="28" t="s">
        <v>677</v>
      </c>
      <c r="D366" s="29" t="s">
        <v>4850</v>
      </c>
      <c r="E366" s="28" t="str">
        <f ca="1">IFERROR(__xludf.DUMMYFUNCTION("GOOGLETRANSLATE(D366)"),"Transmitted! Pull out! Remote work conference surgery")</f>
        <v>Transmitted! Pull out! Remote work conference surgery</v>
      </c>
      <c r="F366" s="28" t="s">
        <v>4539</v>
      </c>
      <c r="G366" s="30">
        <v>3.88</v>
      </c>
      <c r="H366" s="31">
        <v>2.34</v>
      </c>
      <c r="I366" s="28" t="s">
        <v>21</v>
      </c>
    </row>
    <row r="367" spans="1:9" ht="12.5">
      <c r="A367" s="27">
        <v>3187702</v>
      </c>
      <c r="B367" s="28" t="s">
        <v>225</v>
      </c>
      <c r="C367" s="28" t="s">
        <v>288</v>
      </c>
      <c r="D367" s="29" t="s">
        <v>4851</v>
      </c>
      <c r="E367" s="28" t="str">
        <f ca="1">IFERROR(__xludf.DUMMYFUNCTION("GOOGLETRANSLATE(D367)"),"Algorithm data structure coding test Introduction to teach the active Silicon Valley engineers")</f>
        <v>Algorithm data structure coding test Introduction to teach the active Silicon Valley engineers</v>
      </c>
      <c r="F367" s="28" t="s">
        <v>4424</v>
      </c>
      <c r="G367" s="30">
        <v>4.6900000000000004</v>
      </c>
      <c r="H367" s="31">
        <v>12.78</v>
      </c>
      <c r="I367" s="28" t="s">
        <v>17</v>
      </c>
    </row>
    <row r="368" spans="1:9" ht="12.5">
      <c r="A368" s="27">
        <v>3194484</v>
      </c>
      <c r="B368" s="28" t="s">
        <v>31</v>
      </c>
      <c r="C368" s="28" t="s">
        <v>1161</v>
      </c>
      <c r="D368" s="29" t="s">
        <v>4852</v>
      </c>
      <c r="E368" s="28" t="str">
        <f ca="1">IFERROR(__xludf.DUMMYFUNCTION("GOOGLETRANSLATE(D368)"),"Practice direct connection! By making full use of the Excel data to grow a business! Practical analysis technique [beginner to intermediate ed.]")</f>
        <v>Practice direct connection! By making full use of the Excel data to grow a business! Practical analysis technique [beginner to intermediate ed.]</v>
      </c>
      <c r="F368" s="28" t="s">
        <v>4642</v>
      </c>
      <c r="G368" s="30">
        <v>4.24</v>
      </c>
      <c r="H368" s="31">
        <v>3.8</v>
      </c>
      <c r="I368" s="28" t="s">
        <v>72</v>
      </c>
    </row>
    <row r="369" spans="1:9" ht="12.5">
      <c r="A369" s="27">
        <v>3201750</v>
      </c>
      <c r="B369" s="28" t="s">
        <v>225</v>
      </c>
      <c r="C369" s="28" t="s">
        <v>278</v>
      </c>
      <c r="D369" s="29" t="s">
        <v>4853</v>
      </c>
      <c r="E369" s="28" t="str">
        <f ca="1">IFERROR(__xludf.DUMMYFUNCTION("GOOGLETRANSLATE(D369)"),"Learn the professional technology while creating a practical iPhone app in the [iOS development] SwiftUI! Todo trying to complete the app!")</f>
        <v>Learn the professional technology while creating a practical iPhone app in the [iOS development] SwiftUI! Todo trying to complete the app!</v>
      </c>
      <c r="F369" s="28" t="s">
        <v>4854</v>
      </c>
      <c r="G369" s="30">
        <v>4.28</v>
      </c>
      <c r="H369" s="31">
        <v>5.65</v>
      </c>
      <c r="I369" s="28" t="s">
        <v>72</v>
      </c>
    </row>
    <row r="370" spans="1:9" ht="12.5">
      <c r="A370" s="27">
        <v>3203708</v>
      </c>
      <c r="B370" s="28" t="s">
        <v>31</v>
      </c>
      <c r="C370" s="28" t="s">
        <v>32</v>
      </c>
      <c r="D370" s="29" t="s">
        <v>4855</v>
      </c>
      <c r="E370" s="28" t="str">
        <f ca="1">IFERROR(__xludf.DUMMYFUNCTION("GOOGLETRANSLATE(D370)"),"[Learn in Hands On] deep learning Introduction to PyTorch")</f>
        <v>[Learn in Hands On] deep learning Introduction to PyTorch</v>
      </c>
      <c r="F370" s="28" t="s">
        <v>4432</v>
      </c>
      <c r="G370" s="30">
        <v>4.51</v>
      </c>
      <c r="H370" s="31">
        <v>5.18</v>
      </c>
      <c r="I370" s="28" t="s">
        <v>17</v>
      </c>
    </row>
    <row r="371" spans="1:9" ht="12.5">
      <c r="A371" s="27">
        <v>3211691</v>
      </c>
      <c r="B371" s="28" t="s">
        <v>12</v>
      </c>
      <c r="C371" s="28" t="s">
        <v>13</v>
      </c>
      <c r="D371" s="29" t="s">
        <v>4856</v>
      </c>
      <c r="E371" s="28" t="str">
        <f ca="1">IFERROR(__xludf.DUMMYFUNCTION("GOOGLETRANSLATE(D371)"),"[Win the infrastructure and IT knowledge through the AWS operation] courses beginner to acquire the IT basic knowledge and basic skills of AWS from zero")</f>
        <v>[Win the infrastructure and IT knowledge through the AWS operation] courses beginner to acquire the IT basic knowledge and basic skills of AWS from zero</v>
      </c>
      <c r="F371" s="28" t="s">
        <v>4627</v>
      </c>
      <c r="G371" s="30">
        <v>4.22</v>
      </c>
      <c r="H371" s="31">
        <v>7.63</v>
      </c>
      <c r="I371" s="28" t="s">
        <v>17</v>
      </c>
    </row>
    <row r="372" spans="1:9" ht="12.5">
      <c r="A372" s="27">
        <v>3215835</v>
      </c>
      <c r="B372" s="28" t="s">
        <v>864</v>
      </c>
      <c r="C372" s="28" t="s">
        <v>881</v>
      </c>
      <c r="D372" s="29" t="s">
        <v>4857</v>
      </c>
      <c r="E372" s="28" t="str">
        <f ca="1">IFERROR(__xludf.DUMMYFUNCTION("GOOGLETRANSLATE(D372)"),"[Master from zero business automation] realized by programming the work efficiency and automation of Google Apps Script")</f>
        <v>[Master from zero business automation] realized by programming the work efficiency and automation of Google Apps Script</v>
      </c>
      <c r="F372" s="28" t="s">
        <v>4858</v>
      </c>
      <c r="G372" s="30">
        <v>4.32</v>
      </c>
      <c r="H372" s="31">
        <v>6.41</v>
      </c>
      <c r="I372" s="28" t="s">
        <v>17</v>
      </c>
    </row>
    <row r="373" spans="1:9" ht="12.5">
      <c r="A373" s="27">
        <v>3218921</v>
      </c>
      <c r="B373" s="28" t="s">
        <v>31</v>
      </c>
      <c r="C373" s="28" t="s">
        <v>32</v>
      </c>
      <c r="D373" s="29" t="s">
        <v>4859</v>
      </c>
      <c r="E373" s="28" t="str">
        <f ca="1">IFERROR(__xludf.DUMMYFUNCTION("GOOGLETRANSLATE(D373)"),"[PyTorch + Colab] deep learning implemented in PyTorch -CNN, RNN, construction of artificial intelligence Web Apps -")</f>
        <v>[PyTorch + Colab] deep learning implemented in PyTorch -CNN, RNN, construction of artificial intelligence Web Apps -</v>
      </c>
      <c r="F373" s="28" t="s">
        <v>4410</v>
      </c>
      <c r="G373" s="30">
        <v>4.3499999999999996</v>
      </c>
      <c r="H373" s="31">
        <v>5.05</v>
      </c>
      <c r="I373" s="28" t="s">
        <v>21</v>
      </c>
    </row>
    <row r="374" spans="1:9" ht="12.5">
      <c r="A374" s="27">
        <v>3221645</v>
      </c>
      <c r="B374" s="28" t="s">
        <v>864</v>
      </c>
      <c r="C374" s="28" t="s">
        <v>875</v>
      </c>
      <c r="D374" s="29" t="s">
        <v>4860</v>
      </c>
      <c r="E374" s="28" t="str">
        <f ca="1">IFERROR(__xludf.DUMMYFUNCTION("GOOGLETRANSLATE(D374)"),"[Remain in the 22-fold impression] 4 step-Golden from-class to Powerpoint documents created surgery - thinking organize also a global to material creation")</f>
        <v>[Remain in the 22-fold impression] 4 step-Golden from-class to Powerpoint documents created surgery - thinking organize also a global to material creation</v>
      </c>
      <c r="F374" s="28" t="s">
        <v>4861</v>
      </c>
      <c r="G374" s="30">
        <v>4.22</v>
      </c>
      <c r="H374" s="31">
        <v>2.4700000000000002</v>
      </c>
      <c r="I374" s="28" t="s">
        <v>72</v>
      </c>
    </row>
    <row r="375" spans="1:9" ht="12.5">
      <c r="A375" s="27">
        <v>3228643</v>
      </c>
      <c r="B375" s="28" t="s">
        <v>864</v>
      </c>
      <c r="C375" s="28" t="s">
        <v>881</v>
      </c>
      <c r="D375" s="29" t="s">
        <v>4862</v>
      </c>
      <c r="E375" s="28" t="str">
        <f ca="1">IFERROR(__xludf.DUMMYFUNCTION("GOOGLETRANSLATE(D375)"),"Time management talks about the author of ""Basics of set-up""! Time management in the office and at home (Web of the popular training of repeat more than 90%)")</f>
        <v>Time management talks about the author of "Basics of set-up"! Time management in the office and at home (Web of the popular training of repeat more than 90%)</v>
      </c>
      <c r="F375" s="28" t="s">
        <v>4807</v>
      </c>
      <c r="G375" s="30">
        <v>4.17</v>
      </c>
      <c r="H375" s="31">
        <v>2.06</v>
      </c>
      <c r="I375" s="28" t="s">
        <v>21</v>
      </c>
    </row>
    <row r="376" spans="1:9" ht="12.5">
      <c r="A376" s="27">
        <v>3228721</v>
      </c>
      <c r="B376" s="28" t="s">
        <v>12</v>
      </c>
      <c r="C376" s="28" t="s">
        <v>2319</v>
      </c>
      <c r="D376" s="29" t="s">
        <v>4863</v>
      </c>
      <c r="E376" s="28" t="str">
        <f ca="1">IFERROR(__xludf.DUMMYFUNCTION("GOOGLETRANSLATE(D376)"),"Microsoft Azure introductory course to learn while making (PaaS ed.)")</f>
        <v>Microsoft Azure introductory course to learn while making (PaaS ed.)</v>
      </c>
      <c r="F376" s="28" t="s">
        <v>4617</v>
      </c>
      <c r="G376" s="30">
        <v>4.53</v>
      </c>
      <c r="H376" s="31">
        <v>5.44</v>
      </c>
      <c r="I376" s="28" t="s">
        <v>17</v>
      </c>
    </row>
    <row r="377" spans="1:9" ht="12.5">
      <c r="A377" s="27">
        <v>3245390</v>
      </c>
      <c r="B377" s="28" t="s">
        <v>225</v>
      </c>
      <c r="C377" s="28" t="s">
        <v>235</v>
      </c>
      <c r="D377" s="29" t="s">
        <v>4864</v>
      </c>
      <c r="E377" s="28" t="str">
        <f ca="1">IFERROR(__xludf.DUMMYFUNCTION("GOOGLETRANSLATE(D377)"),"Created using the GAS | LINE BOT recipe that can be easily while learning the Web API and scraping in 1 hour | beginners")</f>
        <v>Created using the GAS | LINE BOT recipe that can be easily while learning the Web API and scraping in 1 hour | beginners</v>
      </c>
      <c r="F377" s="28" t="s">
        <v>4865</v>
      </c>
      <c r="G377" s="30">
        <v>4.22</v>
      </c>
      <c r="H377" s="31">
        <v>0.81</v>
      </c>
      <c r="I377" s="28" t="s">
        <v>21</v>
      </c>
    </row>
    <row r="378" spans="1:9" ht="12.5">
      <c r="A378" s="27">
        <v>3245962</v>
      </c>
      <c r="B378" s="28" t="s">
        <v>225</v>
      </c>
      <c r="C378" s="28" t="s">
        <v>229</v>
      </c>
      <c r="D378" s="29" t="s">
        <v>4866</v>
      </c>
      <c r="E378" s="28" t="str">
        <f ca="1">IFERROR(__xludf.DUMMYFUNCTION("GOOGLETRANSLATE(D378)"),"US Silicon Valley DevOps engineer supervision! Ultra-Docker complete Introduction (2020) [friendly Figure commentary and with hands-on Lab]")</f>
        <v>US Silicon Valley DevOps engineer supervision! Ultra-Docker complete Introduction (2020) [friendly Figure commentary and with hands-on Lab]</v>
      </c>
      <c r="F378" s="28" t="s">
        <v>4829</v>
      </c>
      <c r="G378" s="30">
        <v>4.37</v>
      </c>
      <c r="H378" s="31">
        <v>3.82</v>
      </c>
      <c r="I378" s="28" t="s">
        <v>17</v>
      </c>
    </row>
    <row r="379" spans="1:9" ht="12.5">
      <c r="A379" s="27">
        <v>3246832</v>
      </c>
      <c r="B379" s="28" t="s">
        <v>31</v>
      </c>
      <c r="C379" s="28" t="s">
        <v>32</v>
      </c>
      <c r="D379" s="29" t="s">
        <v>4867</v>
      </c>
      <c r="E379" s="28" t="str">
        <f ca="1">IFERROR(__xludf.DUMMYFUNCTION("GOOGLETRANSLATE(D379)"),"Deep learning implementation to learn in PyTorch [in front of the E qualification]")</f>
        <v>Deep learning implementation to learn in PyTorch [in front of the E qualification]</v>
      </c>
      <c r="F379" s="28" t="s">
        <v>4868</v>
      </c>
      <c r="G379" s="30">
        <v>4.4400000000000004</v>
      </c>
      <c r="H379" s="31">
        <v>4.41</v>
      </c>
      <c r="I379" s="28" t="s">
        <v>17</v>
      </c>
    </row>
    <row r="380" spans="1:9" ht="12.5">
      <c r="A380" s="27">
        <v>3257576</v>
      </c>
      <c r="B380" s="28" t="s">
        <v>1034</v>
      </c>
      <c r="C380" s="28" t="s">
        <v>1040</v>
      </c>
      <c r="D380" s="29" t="s">
        <v>4869</v>
      </c>
      <c r="E380" s="28" t="str">
        <f ca="1">IFERROR(__xludf.DUMMYFUNCTION("GOOGLETRANSLATE(D380)"),"Product Management Practice course: active duty product manager for Silicon Valley to teach, how to write a product ideas transmitted")</f>
        <v>Product Management Practice course: active duty product manager for Silicon Valley to teach, how to write a product ideas transmitted</v>
      </c>
      <c r="F380" s="28" t="s">
        <v>4564</v>
      </c>
      <c r="G380" s="30">
        <v>4.26</v>
      </c>
      <c r="H380" s="31">
        <v>4.72</v>
      </c>
      <c r="I380" s="28" t="s">
        <v>21</v>
      </c>
    </row>
    <row r="381" spans="1:9" ht="12.5">
      <c r="A381" s="27">
        <v>3258248</v>
      </c>
      <c r="B381" s="28" t="s">
        <v>672</v>
      </c>
      <c r="C381" s="28" t="s">
        <v>695</v>
      </c>
      <c r="D381" s="29" t="s">
        <v>4870</v>
      </c>
      <c r="E381" s="28" t="str">
        <f ca="1">IFERROR(__xludf.DUMMYFUNCTION("GOOGLETRANSLATE(D381)"),"[Ultra-practice] critical thinking out of the box! Regained ~ independence, decision-making skills - to create an axis that does not shake")</f>
        <v>[Ultra-practice] critical thinking out of the box! Regained ~ independence, decision-making skills - to create an axis that does not shake</v>
      </c>
      <c r="F381" s="28" t="s">
        <v>4738</v>
      </c>
      <c r="G381" s="30">
        <v>4.12</v>
      </c>
      <c r="H381" s="31">
        <v>3.12</v>
      </c>
      <c r="I381" s="28" t="s">
        <v>17</v>
      </c>
    </row>
    <row r="382" spans="1:9" ht="12.5">
      <c r="A382" s="27">
        <v>3258874</v>
      </c>
      <c r="B382" s="28" t="s">
        <v>225</v>
      </c>
      <c r="C382" s="28" t="s">
        <v>229</v>
      </c>
      <c r="D382" s="29" t="s">
        <v>4871</v>
      </c>
      <c r="E382" s="28" t="str">
        <f ca="1">IFERROR(__xludf.DUMMYFUNCTION("GOOGLETRANSLATE(D382)"),"US Silicon Valley DevOps engineer supervision! Ultra Kubernetes complete Introduction (2020) [friendly Figure commentary and hands-on]")</f>
        <v>US Silicon Valley DevOps engineer supervision! Ultra Kubernetes complete Introduction (2020) [friendly Figure commentary and hands-on]</v>
      </c>
      <c r="F382" s="28" t="s">
        <v>4829</v>
      </c>
      <c r="G382" s="30">
        <v>4.3600000000000003</v>
      </c>
      <c r="H382" s="31">
        <v>3.96</v>
      </c>
      <c r="I382" s="28" t="s">
        <v>17</v>
      </c>
    </row>
    <row r="383" spans="1:9" ht="12.5">
      <c r="A383" s="27">
        <v>3261882</v>
      </c>
      <c r="B383" s="28" t="s">
        <v>225</v>
      </c>
      <c r="C383" s="28" t="s">
        <v>235</v>
      </c>
      <c r="D383" s="29" t="s">
        <v>4872</v>
      </c>
      <c r="E383" s="28" t="str">
        <f ca="1">IFERROR(__xludf.DUMMYFUNCTION("GOOGLETRANSLATE(D383)"),"Modern React front-end development by [Redux ed] Redux Tool Kit and React Hooks")</f>
        <v>Modern React front-end development by [Redux ed] Redux Tool Kit and React Hooks</v>
      </c>
      <c r="F383" s="28" t="s">
        <v>4790</v>
      </c>
      <c r="G383" s="30">
        <v>4.55</v>
      </c>
      <c r="H383" s="31">
        <v>5.05</v>
      </c>
      <c r="I383" s="28" t="s">
        <v>72</v>
      </c>
    </row>
    <row r="384" spans="1:9" ht="12.5">
      <c r="A384" s="27">
        <v>3271146</v>
      </c>
      <c r="B384" s="28" t="s">
        <v>12</v>
      </c>
      <c r="C384" s="28" t="s">
        <v>24</v>
      </c>
      <c r="D384" s="29" t="s">
        <v>4873</v>
      </c>
      <c r="E384" s="28" t="str">
        <f ca="1">IFERROR(__xludf.DUMMYFUNCTION("GOOGLETRANSLATE(D384)"),"This alone OK! AWS certified cloud Practitioner test breakthrough course (with a variety of exam questions 290 questions)")</f>
        <v>This alone OK! AWS certified cloud Practitioner test breakthrough course (with a variety of exam questions 290 questions)</v>
      </c>
      <c r="F384" s="28" t="s">
        <v>4627</v>
      </c>
      <c r="G384" s="30">
        <v>4.0999999999999996</v>
      </c>
      <c r="H384" s="31">
        <v>10.64</v>
      </c>
      <c r="I384" s="28" t="s">
        <v>17</v>
      </c>
    </row>
    <row r="385" spans="1:9" ht="12.5">
      <c r="A385" s="27">
        <v>3295154</v>
      </c>
      <c r="B385" s="28" t="s">
        <v>225</v>
      </c>
      <c r="C385" s="28" t="s">
        <v>235</v>
      </c>
      <c r="D385" s="29" t="s">
        <v>4874</v>
      </c>
      <c r="E385" s="28" t="str">
        <f ca="1">IFERROR(__xludf.DUMMYFUNCTION("GOOGLETRANSLATE(D385)"),"Coronavirus Live dashboard made of [COVID 19 app ed] React")</f>
        <v>Coronavirus Live dashboard made of [COVID 19 app ed] React</v>
      </c>
      <c r="F385" s="28" t="s">
        <v>4790</v>
      </c>
      <c r="G385" s="30">
        <v>4.54</v>
      </c>
      <c r="H385" s="31">
        <v>4.49</v>
      </c>
      <c r="I385" s="28" t="s">
        <v>17</v>
      </c>
    </row>
    <row r="386" spans="1:9" ht="12.5">
      <c r="A386" s="27">
        <v>3300344</v>
      </c>
      <c r="B386" s="28" t="s">
        <v>31</v>
      </c>
      <c r="C386" s="28" t="s">
        <v>37</v>
      </c>
      <c r="D386" s="29" t="s">
        <v>4875</v>
      </c>
      <c r="E386" s="28" t="str">
        <f ca="1">IFERROR(__xludf.DUMMYFUNCTION("GOOGLETRANSLATE(D386)"),"[Tu du] Microsoft Power BI Desktop - entry talks ~ DAX-TABLE FUNCTION Gifted edition ...")</f>
        <v>[Tu du] Microsoft Power BI Desktop - entry talks ~ DAX-TABLE FUNCTION Gifted edition ...</v>
      </c>
      <c r="F386" s="28" t="s">
        <v>4541</v>
      </c>
      <c r="G386" s="30">
        <v>4.4400000000000004</v>
      </c>
      <c r="H386" s="31">
        <v>3.51</v>
      </c>
      <c r="I386" s="28" t="s">
        <v>17</v>
      </c>
    </row>
    <row r="387" spans="1:9" ht="12.5">
      <c r="A387" s="27">
        <v>3317968</v>
      </c>
      <c r="B387" s="28" t="s">
        <v>864</v>
      </c>
      <c r="C387" s="28" t="s">
        <v>875</v>
      </c>
      <c r="D387" s="29" t="s">
        <v>4876</v>
      </c>
      <c r="E387" s="28" t="str">
        <f ca="1">IFERROR(__xludf.DUMMYFUNCTION("GOOGLETRANSLATE(D387)"),"Starting from scratch! PowerPoint fastest material creation surgery")</f>
        <v>Starting from scratch! PowerPoint fastest material creation surgery</v>
      </c>
      <c r="F387" s="28" t="s">
        <v>4539</v>
      </c>
      <c r="G387" s="30">
        <v>4.3099999999999996</v>
      </c>
      <c r="H387" s="31">
        <v>2.56</v>
      </c>
      <c r="I387" s="28" t="s">
        <v>17</v>
      </c>
    </row>
    <row r="388" spans="1:9" ht="12.5">
      <c r="A388" s="27">
        <v>3320520</v>
      </c>
      <c r="B388" s="28" t="s">
        <v>672</v>
      </c>
      <c r="C388" s="28" t="s">
        <v>695</v>
      </c>
      <c r="D388" s="29" t="s">
        <v>4877</v>
      </c>
      <c r="E388" s="28" t="str">
        <f ca="1">IFERROR(__xludf.DUMMYFUNCTION("GOOGLETRANSLATE(D388)"),"DX [non-engineers / ultra-beginners course] to start from Kubernetes")</f>
        <v>DX [non-engineers / ultra-beginners course] to start from Kubernetes</v>
      </c>
      <c r="F388" s="28" t="s">
        <v>4878</v>
      </c>
      <c r="G388" s="30">
        <v>4.4800000000000004</v>
      </c>
      <c r="H388" s="31">
        <v>1.7</v>
      </c>
      <c r="I388" s="28" t="s">
        <v>17</v>
      </c>
    </row>
    <row r="389" spans="1:9" ht="12.5">
      <c r="A389" s="27">
        <v>3345950</v>
      </c>
      <c r="B389" s="28" t="s">
        <v>225</v>
      </c>
      <c r="C389" s="28" t="s">
        <v>229</v>
      </c>
      <c r="D389" s="29" t="s">
        <v>4879</v>
      </c>
      <c r="E389" s="28" t="str">
        <f ca="1">IFERROR(__xludf.DUMMYFUNCTION("GOOGLETRANSLATE(D389)"),"US Silicon Valley engineer supervision! AWS EKS Kubernetes hands-on Best Practices (2020)")</f>
        <v>US Silicon Valley engineer supervision! AWS EKS Kubernetes hands-on Best Practices (2020)</v>
      </c>
      <c r="F389" s="28" t="s">
        <v>4829</v>
      </c>
      <c r="G389" s="30">
        <v>4.67</v>
      </c>
      <c r="H389" s="31">
        <v>5.79</v>
      </c>
      <c r="I389" s="28" t="s">
        <v>72</v>
      </c>
    </row>
    <row r="390" spans="1:9" ht="12.5">
      <c r="A390" s="27">
        <v>3351596</v>
      </c>
      <c r="B390" s="28" t="s">
        <v>225</v>
      </c>
      <c r="C390" s="28" t="s">
        <v>235</v>
      </c>
      <c r="D390" s="29" t="s">
        <v>4880</v>
      </c>
      <c r="E390" s="28" t="str">
        <f ca="1">IFERROR(__xludf.DUMMYFUNCTION("GOOGLETRANSLATE(D390)"),"[Latest 2020] to master the HTML5, CSS3, practice master course which aims to WEB design engineers from inexperienced")</f>
        <v>[Latest 2020] to master the HTML5, CSS3, practice master course which aims to WEB design engineers from inexperienced</v>
      </c>
      <c r="F390" s="28" t="s">
        <v>4674</v>
      </c>
      <c r="G390" s="30">
        <v>4.3</v>
      </c>
      <c r="H390" s="31">
        <v>17.39</v>
      </c>
      <c r="I390" s="28" t="s">
        <v>17</v>
      </c>
    </row>
    <row r="391" spans="1:9" ht="12.5">
      <c r="A391" s="27">
        <v>3353014</v>
      </c>
      <c r="B391" s="28" t="s">
        <v>557</v>
      </c>
      <c r="C391" s="28" t="s">
        <v>1565</v>
      </c>
      <c r="D391" s="29" t="s">
        <v>4881</v>
      </c>
      <c r="E391" s="28" t="str">
        <f ca="1">IFERROR(__xludf.DUMMYFUNCTION("GOOGLETRANSLATE(D391)"),"[80,000 people worldwide students: Python for Finance] and practice modern finance theory to learn using Python")</f>
        <v>[80,000 people worldwide students: Python for Finance] and practice modern finance theory to learn using Python</v>
      </c>
      <c r="F391" s="28" t="s">
        <v>1156</v>
      </c>
      <c r="G391" s="30">
        <v>4.3099999999999996</v>
      </c>
      <c r="H391" s="31">
        <v>8.08</v>
      </c>
      <c r="I391" s="28" t="s">
        <v>21</v>
      </c>
    </row>
    <row r="392" spans="1:9" ht="12.5">
      <c r="A392" s="27">
        <v>3354850</v>
      </c>
      <c r="B392" s="28" t="s">
        <v>597</v>
      </c>
      <c r="C392" s="28" t="s">
        <v>601</v>
      </c>
      <c r="D392" s="29" t="s">
        <v>4882</v>
      </c>
      <c r="E392" s="28" t="str">
        <f ca="1">IFERROR(__xludf.DUMMYFUNCTION("GOOGLETRANSLATE(D392)"),"New CCNA (200-301) passed courses from complete inexperienced (above) [power up the full version of YouTube high rating of 98.2%]")</f>
        <v>New CCNA (200-301) passed courses from complete inexperienced (above) [power up the full version of YouTube high rating of 98.2%]</v>
      </c>
      <c r="F392" s="28" t="s">
        <v>4883</v>
      </c>
      <c r="G392" s="30">
        <v>4.5</v>
      </c>
      <c r="H392" s="31">
        <v>15.38</v>
      </c>
      <c r="I392" s="28" t="s">
        <v>21</v>
      </c>
    </row>
    <row r="393" spans="1:9" ht="12.5">
      <c r="A393" s="27">
        <v>3363386</v>
      </c>
      <c r="B393" s="28" t="s">
        <v>225</v>
      </c>
      <c r="C393" s="28" t="s">
        <v>235</v>
      </c>
      <c r="D393" s="29" t="s">
        <v>4884</v>
      </c>
      <c r="E393" s="28" t="str">
        <f ca="1">IFERROR(__xludf.DUMMYFUNCTION("GOOGLETRANSLATE(D393)"),"Practical part: React made in Native and Firebase iOS / Android apps: shop review app development Hen")</f>
        <v>Practical part: React made in Native and Firebase iOS / Android apps: shop review app development Hen</v>
      </c>
      <c r="F393" s="28" t="s">
        <v>4671</v>
      </c>
      <c r="G393" s="30">
        <v>4.49</v>
      </c>
      <c r="H393" s="31">
        <v>6.73</v>
      </c>
      <c r="I393" s="28" t="s">
        <v>72</v>
      </c>
    </row>
    <row r="394" spans="1:9" ht="12.5">
      <c r="A394" s="27">
        <v>3391810</v>
      </c>
      <c r="B394" s="28" t="s">
        <v>672</v>
      </c>
      <c r="C394" s="28" t="s">
        <v>673</v>
      </c>
      <c r="D394" s="29" t="s">
        <v>4885</v>
      </c>
      <c r="E394" s="28" t="str">
        <f ca="1">IFERROR(__xludf.DUMMYFUNCTION("GOOGLETRANSLATE(D394)"),"Ikaseru creativity in business! Art thinking × design thinking practice seminar")</f>
        <v>Ikaseru creativity in business! Art thinking × design thinking practice seminar</v>
      </c>
      <c r="F394" s="28" t="s">
        <v>4886</v>
      </c>
      <c r="G394" s="30">
        <v>4.25</v>
      </c>
      <c r="H394" s="31">
        <v>2.61</v>
      </c>
      <c r="I394" s="28" t="s">
        <v>17</v>
      </c>
    </row>
    <row r="395" spans="1:9" ht="12.5">
      <c r="A395" s="27">
        <v>3399722</v>
      </c>
      <c r="B395" s="28" t="s">
        <v>225</v>
      </c>
      <c r="C395" s="28" t="s">
        <v>398</v>
      </c>
      <c r="D395" s="29" t="s">
        <v>4887</v>
      </c>
      <c r="E395" s="28" t="str">
        <f ca="1">IFERROR(__xludf.DUMMYFUNCTION("GOOGLETRANSLATE(D395)"),"React Software Testing (Hooks + ReduxToolKit modern testing techniques of the era)")</f>
        <v>React Software Testing (Hooks + ReduxToolKit modern testing techniques of the era)</v>
      </c>
      <c r="F395" s="28" t="s">
        <v>4790</v>
      </c>
      <c r="G395" s="30">
        <v>4.41</v>
      </c>
      <c r="H395" s="31">
        <v>4.2300000000000004</v>
      </c>
      <c r="I395" s="28" t="s">
        <v>17</v>
      </c>
    </row>
    <row r="396" spans="1:9" ht="12.5">
      <c r="A396" s="27">
        <v>3406688</v>
      </c>
      <c r="B396" s="28" t="s">
        <v>557</v>
      </c>
      <c r="C396" s="28" t="s">
        <v>561</v>
      </c>
      <c r="D396" s="29" t="s">
        <v>4888</v>
      </c>
      <c r="E396" s="28" t="str">
        <f ca="1">IFERROR(__xludf.DUMMYFUNCTION("GOOGLETRANSLATE(D396)"),"[First team management] performance evaluation and budget management to learn in Excel (management accounting)")</f>
        <v>[First team management] performance evaluation and budget management to learn in Excel (management accounting)</v>
      </c>
      <c r="F396" s="28" t="s">
        <v>4439</v>
      </c>
      <c r="G396" s="30">
        <v>4.3899999999999997</v>
      </c>
      <c r="H396" s="31">
        <v>3.51</v>
      </c>
      <c r="I396" s="28" t="s">
        <v>72</v>
      </c>
    </row>
    <row r="397" spans="1:9" ht="12.5">
      <c r="A397" s="27">
        <v>3414194</v>
      </c>
      <c r="B397" s="28" t="s">
        <v>31</v>
      </c>
      <c r="C397" s="28" t="s">
        <v>32</v>
      </c>
      <c r="D397" s="29" t="s">
        <v>4889</v>
      </c>
      <c r="E397" s="28" t="str">
        <f ca="1">IFERROR(__xludf.DUMMYFUNCTION("GOOGLETRANSLATE(D397)"),"[Flutter + Firebase + MLKit] iOS equipped with artificial intelligence (AI), trying to make the Android app")</f>
        <v>[Flutter + Firebase + MLKit] iOS equipped with artificial intelligence (AI), trying to make the Android app</v>
      </c>
      <c r="F397" s="28" t="s">
        <v>4410</v>
      </c>
      <c r="G397" s="30">
        <v>4.2300000000000004</v>
      </c>
      <c r="H397" s="31">
        <v>6.41</v>
      </c>
      <c r="I397" s="28" t="s">
        <v>17</v>
      </c>
    </row>
    <row r="398" spans="1:9" ht="12.5">
      <c r="A398" s="27">
        <v>3447502</v>
      </c>
      <c r="B398" s="28" t="s">
        <v>913</v>
      </c>
      <c r="C398" s="28" t="s">
        <v>914</v>
      </c>
      <c r="D398" s="29" t="s">
        <v>4890</v>
      </c>
      <c r="E398" s="28" t="str">
        <f ca="1">IFERROR(__xludf.DUMMYFUNCTION("GOOGLETRANSLATE(D398)"),"English based on the recognition grammar learning English grammar HACKER")</f>
        <v>English based on the recognition grammar learning English grammar HACKER</v>
      </c>
      <c r="F398" s="28" t="s">
        <v>4891</v>
      </c>
      <c r="G398" s="30">
        <v>4.59</v>
      </c>
      <c r="H398" s="31">
        <v>4.28</v>
      </c>
      <c r="I398" s="28" t="s">
        <v>72</v>
      </c>
    </row>
    <row r="399" spans="1:9" ht="12.5">
      <c r="A399" s="27">
        <v>3452848</v>
      </c>
      <c r="B399" s="28" t="s">
        <v>225</v>
      </c>
      <c r="C399" s="28" t="s">
        <v>235</v>
      </c>
      <c r="D399" s="29" t="s">
        <v>4892</v>
      </c>
      <c r="E399" s="28" t="str">
        <f ca="1">IFERROR(__xludf.DUMMYFUNCTION("GOOGLETRANSLATE(D399)"),"React Introduction of the order not to frustrate start from the basics of modern JavaScipt")</f>
        <v>React Introduction of the order not to frustrate start from the basics of modern JavaScipt</v>
      </c>
      <c r="F399" s="28" t="s">
        <v>4893</v>
      </c>
      <c r="G399" s="30">
        <v>4.68</v>
      </c>
      <c r="H399" s="31">
        <v>6.11</v>
      </c>
      <c r="I399" s="28" t="s">
        <v>17</v>
      </c>
    </row>
    <row r="400" spans="1:9" ht="12.5">
      <c r="A400" s="27">
        <v>3457376</v>
      </c>
      <c r="B400" s="28" t="s">
        <v>672</v>
      </c>
      <c r="C400" s="28" t="s">
        <v>673</v>
      </c>
      <c r="D400" s="29" t="s">
        <v>4894</v>
      </c>
      <c r="E400" s="28" t="str">
        <f ca="1">IFERROR(__xludf.DUMMYFUNCTION("GOOGLETRANSLATE(D400)"),"[20,000 people worldwide attend! ] EQ (heart of the intelligence quotient): learn from emotion, in order to take advantage in the workplace")</f>
        <v>[20,000 people worldwide attend! ] EQ (heart of the intelligence quotient): learn from emotion, in order to take advantage in the workplace</v>
      </c>
      <c r="F400" s="28" t="s">
        <v>4895</v>
      </c>
      <c r="G400" s="30">
        <v>4.07</v>
      </c>
      <c r="H400" s="31">
        <v>0.97</v>
      </c>
      <c r="I400" s="28" t="s">
        <v>17</v>
      </c>
    </row>
    <row r="401" spans="1:9" ht="12.5">
      <c r="A401" s="27">
        <v>3478486</v>
      </c>
      <c r="B401" s="28" t="s">
        <v>672</v>
      </c>
      <c r="C401" s="28" t="s">
        <v>673</v>
      </c>
      <c r="D401" s="29" t="s">
        <v>4896</v>
      </c>
      <c r="E401" s="28" t="str">
        <f ca="1">IFERROR(__xludf.DUMMYFUNCTION("GOOGLETRANSLATE(D401)"),"[First KPI management] key indicator management to learn in Excel")</f>
        <v>[First KPI management] key indicator management to learn in Excel</v>
      </c>
      <c r="F401" s="28" t="s">
        <v>4439</v>
      </c>
      <c r="G401" s="30">
        <v>4.42</v>
      </c>
      <c r="H401" s="31">
        <v>3.5</v>
      </c>
      <c r="I401" s="28" t="s">
        <v>72</v>
      </c>
    </row>
    <row r="402" spans="1:9" ht="12.5">
      <c r="A402" s="27">
        <v>3478490</v>
      </c>
      <c r="B402" s="28" t="s">
        <v>768</v>
      </c>
      <c r="C402" s="28" t="s">
        <v>792</v>
      </c>
      <c r="D402" s="29" t="s">
        <v>4897</v>
      </c>
      <c r="E402" s="28" t="str">
        <f ca="1">IFERROR(__xludf.DUMMYFUNCTION("GOOGLETRANSLATE(D402)"),"[From beginner to advanced] marketing data analysis master course to learn in Excel")</f>
        <v>[From beginner to advanced] marketing data analysis master course to learn in Excel</v>
      </c>
      <c r="F402" s="28" t="s">
        <v>4439</v>
      </c>
      <c r="G402" s="30">
        <v>4.55</v>
      </c>
      <c r="H402" s="31">
        <v>6.2</v>
      </c>
      <c r="I402" s="28" t="s">
        <v>17</v>
      </c>
    </row>
    <row r="403" spans="1:9" ht="12.5">
      <c r="A403" s="27">
        <v>3486490</v>
      </c>
      <c r="B403" s="28" t="s">
        <v>225</v>
      </c>
      <c r="C403" s="28" t="s">
        <v>235</v>
      </c>
      <c r="D403" s="29" t="s">
        <v>4898</v>
      </c>
      <c r="E403" s="28" t="str">
        <f ca="1">IFERROR(__xludf.DUMMYFUNCTION("GOOGLETRANSLATE(D403)"),"Original JIRA made of [JIRA ed] React Hooks / TypeScript + Django REST API")</f>
        <v>Original JIRA made of [JIRA ed] React Hooks / TypeScript + Django REST API</v>
      </c>
      <c r="F403" s="28" t="s">
        <v>4790</v>
      </c>
      <c r="G403" s="30">
        <v>4.37</v>
      </c>
      <c r="H403" s="31">
        <v>6.11</v>
      </c>
      <c r="I403" s="28" t="s">
        <v>72</v>
      </c>
    </row>
    <row r="404" spans="1:9" ht="12.5">
      <c r="A404" s="27">
        <v>3515188</v>
      </c>
      <c r="B404" s="28" t="s">
        <v>225</v>
      </c>
      <c r="C404" s="28" t="s">
        <v>235</v>
      </c>
      <c r="D404" s="29" t="s">
        <v>4899</v>
      </c>
      <c r="E404" s="28" t="str">
        <f ca="1">IFERROR(__xludf.DUMMYFUNCTION("GOOGLETRANSLATE(D404)"),"WEB application practice course made of AWS")</f>
        <v>WEB application practice course made of AWS</v>
      </c>
      <c r="F404" s="28" t="s">
        <v>4448</v>
      </c>
      <c r="G404" s="30">
        <v>4.63</v>
      </c>
      <c r="H404" s="31">
        <v>9.69</v>
      </c>
      <c r="I404" s="28" t="s">
        <v>72</v>
      </c>
    </row>
    <row r="405" spans="1:9" ht="12.5">
      <c r="A405" s="27">
        <v>3522706</v>
      </c>
      <c r="B405" s="28" t="s">
        <v>225</v>
      </c>
      <c r="C405" s="28" t="s">
        <v>235</v>
      </c>
      <c r="D405" s="29" t="s">
        <v>4900</v>
      </c>
      <c r="E405" s="28" t="str">
        <f ca="1">IFERROR(__xludf.DUMMYFUNCTION("GOOGLETRANSLATE(D405)"),"Video chat application NodeJS + WebRTC edited to create the shortest, fastest")</f>
        <v>Video chat application NodeJS + WebRTC edited to create the shortest, fastest</v>
      </c>
      <c r="F405" s="28" t="s">
        <v>4770</v>
      </c>
      <c r="G405" s="30">
        <v>4.1500000000000004</v>
      </c>
      <c r="H405" s="31">
        <v>0.98</v>
      </c>
      <c r="I405" s="28" t="s">
        <v>72</v>
      </c>
    </row>
    <row r="406" spans="1:9" ht="12.5">
      <c r="A406" s="27">
        <v>3536536</v>
      </c>
      <c r="B406" s="28" t="s">
        <v>31</v>
      </c>
      <c r="C406" s="28" t="s">
        <v>32</v>
      </c>
      <c r="D406" s="29" t="s">
        <v>4901</v>
      </c>
      <c r="E406" s="28" t="str">
        <f ca="1">IFERROR(__xludf.DUMMYFUNCTION("GOOGLETRANSLATE(D406)"),"Let's make a Twitter bot equipped with artificial intelligence (AI) [Seq2Seq + Attention + Colab]")</f>
        <v>Let's make a Twitter bot equipped with artificial intelligence (AI) [Seq2Seq + Attention + Colab]</v>
      </c>
      <c r="F406" s="28" t="s">
        <v>4410</v>
      </c>
      <c r="G406" s="30">
        <v>4.5199999999999996</v>
      </c>
      <c r="H406" s="31">
        <v>5.68</v>
      </c>
      <c r="I406" s="28" t="s">
        <v>17</v>
      </c>
    </row>
    <row r="407" spans="1:9" ht="12.5">
      <c r="A407" s="27">
        <v>3543274</v>
      </c>
      <c r="B407" s="28" t="s">
        <v>225</v>
      </c>
      <c r="C407" s="28" t="s">
        <v>235</v>
      </c>
      <c r="D407" s="29" t="s">
        <v>4902</v>
      </c>
      <c r="E407" s="28" t="str">
        <f ca="1">IFERROR(__xludf.DUMMYFUNCTION("GOOGLETRANSLATE(D407)"),"[Hamushiki] chat application development Introduction to make in React for Firebase inexperienced person! Fastest shortest in goal attainment towards 2021!")</f>
        <v>[Hamushiki] chat application development Introduction to make in React for Firebase inexperienced person! Fastest shortest in goal attainment towards 2021!</v>
      </c>
      <c r="F407" s="28" t="s">
        <v>4500</v>
      </c>
      <c r="G407" s="30">
        <v>4.57</v>
      </c>
      <c r="H407" s="31">
        <v>8.09</v>
      </c>
      <c r="I407" s="28" t="s">
        <v>21</v>
      </c>
    </row>
    <row r="408" spans="1:9" ht="12.5">
      <c r="A408" s="27">
        <v>3548258</v>
      </c>
      <c r="B408" s="28" t="s">
        <v>1066</v>
      </c>
      <c r="C408" s="28" t="s">
        <v>1067</v>
      </c>
      <c r="D408" s="29" t="s">
        <v>4903</v>
      </c>
      <c r="E408" s="28" t="str">
        <f ca="1">IFERROR(__xludf.DUMMYFUNCTION("GOOGLETRANSLATE(D408)"),"""Business first-class, second-rate, third-rate,"" the author is delivered, ""everyone can become the top sales! Sales skills Encyclopedia""")</f>
        <v>"Business first-class, second-rate, third-rate," the author is delivered, "everyone can become the top sales! Sales skills Encyclopedia"</v>
      </c>
      <c r="F408" s="28" t="s">
        <v>4807</v>
      </c>
      <c r="G408" s="30">
        <v>4.57</v>
      </c>
      <c r="H408" s="31">
        <v>3.81</v>
      </c>
      <c r="I408" s="28" t="s">
        <v>21</v>
      </c>
    </row>
    <row r="409" spans="1:9" ht="12.5">
      <c r="A409" s="27">
        <v>3576919</v>
      </c>
      <c r="B409" s="28" t="s">
        <v>225</v>
      </c>
      <c r="C409" s="28" t="s">
        <v>235</v>
      </c>
      <c r="D409" s="29" t="s">
        <v>4904</v>
      </c>
      <c r="E409" s="28" t="str">
        <f ca="1">IFERROR(__xludf.DUMMYFUNCTION("GOOGLETRANSLATE(D409)"),"Web application development due to Firebase + React Hooks (TypeScript)")</f>
        <v>Web application development due to Firebase + React Hooks (TypeScript)</v>
      </c>
      <c r="F409" s="28" t="s">
        <v>4790</v>
      </c>
      <c r="G409" s="30">
        <v>4.4000000000000004</v>
      </c>
      <c r="H409" s="31">
        <v>4.21</v>
      </c>
      <c r="I409" s="28" t="s">
        <v>17</v>
      </c>
    </row>
    <row r="410" spans="1:9" ht="12.5">
      <c r="A410" s="27">
        <v>3611508</v>
      </c>
      <c r="B410" s="28" t="s">
        <v>864</v>
      </c>
      <c r="C410" s="28" t="s">
        <v>881</v>
      </c>
      <c r="D410" s="29" t="s">
        <v>4905</v>
      </c>
      <c r="E410" s="28" t="str">
        <f ca="1">IFERROR(__xludf.DUMMYFUNCTION("GOOGLETRANSLATE(D410)"),"[Super-fast learning] seven business framework Introduction! Mandatory seven tools - to - productivity is now up")</f>
        <v>[Super-fast learning] seven business framework Introduction! Mandatory seven tools - to - productivity is now up</v>
      </c>
      <c r="F410" s="28" t="s">
        <v>4738</v>
      </c>
      <c r="G410" s="30">
        <v>4.5199999999999996</v>
      </c>
      <c r="H410" s="31">
        <v>1.4</v>
      </c>
      <c r="I410" s="28" t="s">
        <v>17</v>
      </c>
    </row>
    <row r="411" spans="1:9" ht="12.5">
      <c r="A411" s="27">
        <v>3656264</v>
      </c>
      <c r="B411" s="28" t="s">
        <v>31</v>
      </c>
      <c r="C411" s="28" t="s">
        <v>37</v>
      </c>
      <c r="D411" s="29" t="s">
        <v>4906</v>
      </c>
      <c r="E411" s="28" t="str">
        <f ca="1">IFERROR(__xludf.DUMMYFUNCTION("GOOGLETRANSLATE(D411)"),"Convincing enhanced lead to problem solving! ""Utilizing the data"" practical direct strategic story-making course")</f>
        <v>Convincing enhanced lead to problem solving! "Utilizing the data" practical direct strategic story-making course</v>
      </c>
      <c r="F411" s="28" t="s">
        <v>4907</v>
      </c>
      <c r="G411" s="30">
        <v>4.46</v>
      </c>
      <c r="H411" s="31">
        <v>1.85</v>
      </c>
      <c r="I411" s="28" t="s">
        <v>17</v>
      </c>
    </row>
    <row r="412" spans="1:9" ht="12.5">
      <c r="A412" s="32">
        <v>3141372</v>
      </c>
      <c r="B412" s="33" t="s">
        <v>672</v>
      </c>
      <c r="C412" s="34" t="s">
        <v>695</v>
      </c>
      <c r="D412" s="29" t="s">
        <v>4908</v>
      </c>
      <c r="E412" s="28" t="str">
        <f ca="1">IFERROR(__xludf.DUMMYFUNCTION("GOOGLETRANSLATE(D412)"),"[Learn logical thinking] practice of 24 that can be used in order to increase the sales and profits framework")</f>
        <v>[Learn logical thinking] practice of 24 that can be used in order to increase the sales and profits framework</v>
      </c>
      <c r="F412" s="28" t="s">
        <v>4717</v>
      </c>
      <c r="G412" s="30">
        <v>4.3899999999999997</v>
      </c>
      <c r="H412" s="31">
        <v>3.7</v>
      </c>
      <c r="I412" s="28" t="s">
        <v>21</v>
      </c>
    </row>
    <row r="413" spans="1:9" ht="12.5">
      <c r="A413" s="35"/>
      <c r="B413" s="36"/>
      <c r="C413" s="36"/>
      <c r="D413" s="37"/>
      <c r="E413" s="36"/>
      <c r="F413" s="36"/>
      <c r="G413" s="38"/>
      <c r="H413" s="39"/>
      <c r="I413" s="36"/>
    </row>
    <row r="414" spans="1:9" ht="12.5">
      <c r="A414" s="35"/>
      <c r="B414" s="36"/>
      <c r="C414" s="36"/>
      <c r="D414" s="37"/>
      <c r="E414" s="36"/>
      <c r="F414" s="36"/>
      <c r="G414" s="38"/>
      <c r="H414" s="39"/>
      <c r="I414" s="36"/>
    </row>
    <row r="415" spans="1:9" ht="12.5">
      <c r="A415" s="35"/>
      <c r="B415" s="36"/>
      <c r="C415" s="36"/>
      <c r="D415" s="37"/>
      <c r="E415" s="36"/>
      <c r="F415" s="36"/>
      <c r="G415" s="38"/>
      <c r="H415" s="39"/>
      <c r="I415" s="36"/>
    </row>
    <row r="416" spans="1:9" ht="12.5">
      <c r="A416" s="35"/>
      <c r="B416" s="36"/>
      <c r="C416" s="36"/>
      <c r="D416" s="37"/>
      <c r="E416" s="36"/>
      <c r="F416" s="36"/>
      <c r="G416" s="38"/>
      <c r="H416" s="39"/>
      <c r="I416" s="36"/>
    </row>
    <row r="417" spans="1:9" ht="12.5">
      <c r="A417" s="35"/>
      <c r="B417" s="36"/>
      <c r="C417" s="36"/>
      <c r="D417" s="37"/>
      <c r="E417" s="36"/>
      <c r="F417" s="36"/>
      <c r="G417" s="38"/>
      <c r="H417" s="39"/>
      <c r="I417" s="36"/>
    </row>
    <row r="418" spans="1:9" ht="12.5">
      <c r="A418" s="35"/>
      <c r="B418" s="36"/>
      <c r="C418" s="36"/>
      <c r="D418" s="37"/>
      <c r="E418" s="36"/>
      <c r="F418" s="36"/>
      <c r="G418" s="38"/>
      <c r="H418" s="39"/>
      <c r="I418" s="36"/>
    </row>
    <row r="419" spans="1:9" ht="12.5">
      <c r="A419" s="35"/>
      <c r="B419" s="36"/>
      <c r="C419" s="36"/>
      <c r="D419" s="37"/>
      <c r="E419" s="36"/>
      <c r="F419" s="36"/>
      <c r="G419" s="38"/>
      <c r="H419" s="39"/>
      <c r="I419" s="36"/>
    </row>
    <row r="420" spans="1:9" ht="12.5">
      <c r="A420" s="35"/>
      <c r="B420" s="36"/>
      <c r="C420" s="36"/>
      <c r="D420" s="37"/>
      <c r="E420" s="36"/>
      <c r="F420" s="36"/>
      <c r="G420" s="38"/>
      <c r="H420" s="39"/>
      <c r="I420" s="36"/>
    </row>
    <row r="421" spans="1:9" ht="12.5">
      <c r="A421" s="35"/>
      <c r="B421" s="36"/>
      <c r="C421" s="36"/>
      <c r="D421" s="37"/>
      <c r="E421" s="36"/>
      <c r="F421" s="36"/>
      <c r="G421" s="38"/>
      <c r="H421" s="39"/>
      <c r="I421" s="36"/>
    </row>
    <row r="422" spans="1:9" ht="12.5">
      <c r="A422" s="35"/>
      <c r="B422" s="36"/>
      <c r="C422" s="36"/>
      <c r="D422" s="37"/>
      <c r="E422" s="36"/>
      <c r="F422" s="36"/>
      <c r="G422" s="38"/>
      <c r="H422" s="39"/>
      <c r="I422" s="36"/>
    </row>
    <row r="423" spans="1:9" ht="12.5">
      <c r="A423" s="35"/>
      <c r="B423" s="36"/>
      <c r="C423" s="36"/>
      <c r="D423" s="37"/>
      <c r="E423" s="36"/>
      <c r="F423" s="36"/>
      <c r="G423" s="38"/>
      <c r="H423" s="39"/>
      <c r="I423" s="36"/>
    </row>
    <row r="424" spans="1:9" ht="12.5">
      <c r="A424" s="35"/>
      <c r="B424" s="36"/>
      <c r="C424" s="36"/>
      <c r="D424" s="37"/>
      <c r="E424" s="36"/>
      <c r="F424" s="36"/>
      <c r="G424" s="38"/>
      <c r="H424" s="39"/>
      <c r="I424" s="36"/>
    </row>
    <row r="425" spans="1:9" ht="12.5">
      <c r="A425" s="35"/>
      <c r="B425" s="36"/>
      <c r="C425" s="36"/>
      <c r="D425" s="37"/>
      <c r="E425" s="36"/>
      <c r="F425" s="36"/>
      <c r="G425" s="38"/>
      <c r="H425" s="39"/>
      <c r="I425" s="36"/>
    </row>
    <row r="426" spans="1:9" ht="12.5">
      <c r="A426" s="35"/>
      <c r="B426" s="36"/>
      <c r="C426" s="36"/>
      <c r="D426" s="37"/>
      <c r="E426" s="36"/>
      <c r="F426" s="36"/>
      <c r="G426" s="38"/>
      <c r="H426" s="39"/>
      <c r="I426" s="36"/>
    </row>
    <row r="427" spans="1:9" ht="12.5">
      <c r="A427" s="35"/>
      <c r="B427" s="36"/>
      <c r="C427" s="36"/>
      <c r="D427" s="37"/>
      <c r="E427" s="36"/>
      <c r="F427" s="36"/>
      <c r="G427" s="38"/>
      <c r="H427" s="39"/>
      <c r="I427" s="36"/>
    </row>
    <row r="428" spans="1:9" ht="12.5">
      <c r="A428" s="35"/>
      <c r="B428" s="36"/>
      <c r="C428" s="36"/>
      <c r="D428" s="37"/>
      <c r="E428" s="36"/>
      <c r="F428" s="36"/>
      <c r="G428" s="38"/>
      <c r="H428" s="39"/>
      <c r="I428" s="36"/>
    </row>
    <row r="429" spans="1:9" ht="12.5">
      <c r="A429" s="35"/>
      <c r="B429" s="36"/>
      <c r="C429" s="36"/>
      <c r="D429" s="37"/>
      <c r="E429" s="36"/>
      <c r="F429" s="36"/>
      <c r="G429" s="38"/>
      <c r="H429" s="39"/>
      <c r="I429" s="36"/>
    </row>
    <row r="430" spans="1:9" ht="12.5">
      <c r="A430" s="35"/>
      <c r="B430" s="36"/>
      <c r="C430" s="36"/>
      <c r="D430" s="37"/>
      <c r="E430" s="36"/>
      <c r="F430" s="36"/>
      <c r="G430" s="38"/>
      <c r="H430" s="39"/>
      <c r="I430" s="36"/>
    </row>
    <row r="431" spans="1:9" ht="12.5">
      <c r="A431" s="35"/>
      <c r="B431" s="36"/>
      <c r="C431" s="36"/>
      <c r="D431" s="37"/>
      <c r="E431" s="36"/>
      <c r="F431" s="36"/>
      <c r="G431" s="38"/>
      <c r="H431" s="39"/>
      <c r="I431" s="36"/>
    </row>
    <row r="432" spans="1:9" ht="12.5">
      <c r="A432" s="35"/>
      <c r="B432" s="36"/>
      <c r="C432" s="36"/>
      <c r="D432" s="37"/>
      <c r="E432" s="36"/>
      <c r="F432" s="36"/>
      <c r="G432" s="38"/>
      <c r="H432" s="39"/>
      <c r="I432" s="36"/>
    </row>
    <row r="433" spans="1:9" ht="12.5">
      <c r="A433" s="35"/>
      <c r="B433" s="36"/>
      <c r="C433" s="36"/>
      <c r="D433" s="37"/>
      <c r="E433" s="36"/>
      <c r="F433" s="36"/>
      <c r="G433" s="38"/>
      <c r="H433" s="39"/>
      <c r="I433" s="36"/>
    </row>
    <row r="434" spans="1:9" ht="12.5">
      <c r="A434" s="35"/>
      <c r="B434" s="36"/>
      <c r="C434" s="36"/>
      <c r="D434" s="37"/>
      <c r="E434" s="36"/>
      <c r="F434" s="36"/>
      <c r="G434" s="38"/>
      <c r="H434" s="39"/>
      <c r="I434" s="36"/>
    </row>
    <row r="435" spans="1:9" ht="12.5">
      <c r="A435" s="35"/>
      <c r="B435" s="36"/>
      <c r="C435" s="36"/>
      <c r="D435" s="37"/>
      <c r="E435" s="36"/>
      <c r="F435" s="36"/>
      <c r="G435" s="38"/>
      <c r="H435" s="39"/>
      <c r="I435" s="36"/>
    </row>
    <row r="436" spans="1:9" ht="12.5">
      <c r="A436" s="35"/>
      <c r="B436" s="36"/>
      <c r="C436" s="36"/>
      <c r="D436" s="37"/>
      <c r="E436" s="36"/>
      <c r="F436" s="36"/>
      <c r="G436" s="38"/>
      <c r="H436" s="39"/>
      <c r="I436" s="36"/>
    </row>
    <row r="437" spans="1:9" ht="12.5">
      <c r="A437" s="35"/>
      <c r="B437" s="36"/>
      <c r="C437" s="36"/>
      <c r="D437" s="37"/>
      <c r="E437" s="36"/>
      <c r="F437" s="36"/>
      <c r="G437" s="38"/>
      <c r="H437" s="39"/>
      <c r="I437" s="36"/>
    </row>
    <row r="438" spans="1:9" ht="12.5">
      <c r="A438" s="35"/>
      <c r="B438" s="36"/>
      <c r="C438" s="36"/>
      <c r="D438" s="37"/>
      <c r="E438" s="36"/>
      <c r="F438" s="36"/>
      <c r="G438" s="38"/>
      <c r="H438" s="39"/>
      <c r="I438" s="36"/>
    </row>
    <row r="439" spans="1:9" ht="12.5">
      <c r="A439" s="35"/>
      <c r="B439" s="36"/>
      <c r="C439" s="36"/>
      <c r="D439" s="37"/>
      <c r="E439" s="36"/>
      <c r="F439" s="36"/>
      <c r="G439" s="38"/>
      <c r="H439" s="39"/>
      <c r="I439" s="36"/>
    </row>
    <row r="440" spans="1:9" ht="12.5">
      <c r="A440" s="35"/>
      <c r="B440" s="36"/>
      <c r="C440" s="36"/>
      <c r="D440" s="37"/>
      <c r="E440" s="36"/>
      <c r="F440" s="36"/>
      <c r="G440" s="38"/>
      <c r="H440" s="39"/>
      <c r="I440" s="36"/>
    </row>
    <row r="441" spans="1:9" ht="12.5">
      <c r="A441" s="35"/>
      <c r="B441" s="36"/>
      <c r="C441" s="36"/>
      <c r="D441" s="37"/>
      <c r="E441" s="36"/>
      <c r="F441" s="36"/>
      <c r="G441" s="38"/>
      <c r="H441" s="39"/>
      <c r="I441" s="36"/>
    </row>
    <row r="442" spans="1:9" ht="12.5">
      <c r="A442" s="35"/>
      <c r="B442" s="36"/>
      <c r="C442" s="36"/>
      <c r="D442" s="37"/>
      <c r="E442" s="36"/>
      <c r="F442" s="36"/>
      <c r="G442" s="38"/>
      <c r="H442" s="39"/>
      <c r="I442" s="36"/>
    </row>
    <row r="443" spans="1:9" ht="12.5">
      <c r="A443" s="35"/>
      <c r="B443" s="36"/>
      <c r="C443" s="36"/>
      <c r="D443" s="37"/>
      <c r="E443" s="36"/>
      <c r="F443" s="36"/>
      <c r="G443" s="38"/>
      <c r="H443" s="39"/>
      <c r="I443" s="36"/>
    </row>
    <row r="444" spans="1:9" ht="12.5">
      <c r="A444" s="35"/>
      <c r="B444" s="36"/>
      <c r="C444" s="36"/>
      <c r="D444" s="37"/>
      <c r="E444" s="36"/>
      <c r="F444" s="36"/>
      <c r="G444" s="38"/>
      <c r="H444" s="39"/>
      <c r="I444" s="36"/>
    </row>
    <row r="445" spans="1:9" ht="12.5">
      <c r="A445" s="35"/>
      <c r="B445" s="36"/>
      <c r="C445" s="36"/>
      <c r="D445" s="37"/>
      <c r="E445" s="36"/>
      <c r="F445" s="36"/>
      <c r="G445" s="38"/>
      <c r="H445" s="39"/>
      <c r="I445" s="36"/>
    </row>
    <row r="446" spans="1:9" ht="12.5">
      <c r="A446" s="35"/>
      <c r="B446" s="36"/>
      <c r="C446" s="36"/>
      <c r="D446" s="37"/>
      <c r="E446" s="36"/>
      <c r="F446" s="36"/>
      <c r="G446" s="38"/>
      <c r="H446" s="39"/>
      <c r="I446" s="36"/>
    </row>
    <row r="447" spans="1:9" ht="12.5">
      <c r="A447" s="35"/>
      <c r="B447" s="36"/>
      <c r="C447" s="36"/>
      <c r="D447" s="37"/>
      <c r="E447" s="36"/>
      <c r="F447" s="36"/>
      <c r="G447" s="38"/>
      <c r="H447" s="39"/>
      <c r="I447" s="36"/>
    </row>
    <row r="448" spans="1:9" ht="12.5">
      <c r="A448" s="35"/>
      <c r="B448" s="36"/>
      <c r="C448" s="36"/>
      <c r="D448" s="37"/>
      <c r="E448" s="36"/>
      <c r="F448" s="36"/>
      <c r="G448" s="38"/>
      <c r="H448" s="39"/>
      <c r="I448" s="36"/>
    </row>
    <row r="449" spans="1:9" ht="12.5">
      <c r="A449" s="35"/>
      <c r="B449" s="36"/>
      <c r="C449" s="36"/>
      <c r="D449" s="37"/>
      <c r="E449" s="36"/>
      <c r="F449" s="36"/>
      <c r="G449" s="38"/>
      <c r="H449" s="39"/>
      <c r="I449" s="36"/>
    </row>
    <row r="450" spans="1:9" ht="12.5">
      <c r="A450" s="35"/>
      <c r="B450" s="36"/>
      <c r="C450" s="36"/>
      <c r="D450" s="37"/>
      <c r="E450" s="36"/>
      <c r="F450" s="36"/>
      <c r="G450" s="38"/>
      <c r="H450" s="39"/>
      <c r="I450" s="36"/>
    </row>
    <row r="451" spans="1:9" ht="12.5">
      <c r="A451" s="35"/>
      <c r="B451" s="36"/>
      <c r="C451" s="36"/>
      <c r="D451" s="37"/>
      <c r="E451" s="36"/>
      <c r="F451" s="36"/>
      <c r="G451" s="38"/>
      <c r="H451" s="39"/>
      <c r="I451" s="36"/>
    </row>
    <row r="452" spans="1:9" ht="12.5">
      <c r="A452" s="35"/>
      <c r="B452" s="36"/>
      <c r="C452" s="36"/>
      <c r="D452" s="37"/>
      <c r="E452" s="36"/>
      <c r="F452" s="36"/>
      <c r="G452" s="38"/>
      <c r="H452" s="39"/>
      <c r="I452" s="36"/>
    </row>
    <row r="453" spans="1:9" ht="12.5">
      <c r="A453" s="35"/>
      <c r="B453" s="36"/>
      <c r="C453" s="36"/>
      <c r="D453" s="37"/>
      <c r="E453" s="36"/>
      <c r="F453" s="36"/>
      <c r="G453" s="38"/>
      <c r="H453" s="39"/>
      <c r="I453" s="36"/>
    </row>
    <row r="454" spans="1:9" ht="12.5">
      <c r="A454" s="35"/>
      <c r="B454" s="36"/>
      <c r="C454" s="36"/>
      <c r="D454" s="37"/>
      <c r="E454" s="36"/>
      <c r="F454" s="36"/>
      <c r="G454" s="38"/>
      <c r="H454" s="39"/>
      <c r="I454" s="36"/>
    </row>
    <row r="455" spans="1:9" ht="12.5">
      <c r="A455" s="35"/>
      <c r="B455" s="36"/>
      <c r="C455" s="36"/>
      <c r="D455" s="37"/>
      <c r="E455" s="36"/>
      <c r="F455" s="36"/>
      <c r="G455" s="38"/>
      <c r="H455" s="39"/>
      <c r="I455" s="36"/>
    </row>
    <row r="456" spans="1:9" ht="12.5">
      <c r="A456" s="35"/>
      <c r="B456" s="36"/>
      <c r="C456" s="36"/>
      <c r="D456" s="37"/>
      <c r="E456" s="36"/>
      <c r="F456" s="36"/>
      <c r="G456" s="38"/>
      <c r="H456" s="39"/>
      <c r="I456" s="36"/>
    </row>
    <row r="457" spans="1:9" ht="12.5">
      <c r="A457" s="35"/>
      <c r="B457" s="36"/>
      <c r="C457" s="36"/>
      <c r="D457" s="37"/>
      <c r="E457" s="36"/>
      <c r="F457" s="36"/>
      <c r="G457" s="38"/>
      <c r="H457" s="39"/>
      <c r="I457" s="36"/>
    </row>
    <row r="458" spans="1:9" ht="12.5">
      <c r="A458" s="35"/>
      <c r="B458" s="36"/>
      <c r="C458" s="36"/>
      <c r="D458" s="37"/>
      <c r="E458" s="36"/>
      <c r="F458" s="36"/>
      <c r="G458" s="38"/>
      <c r="H458" s="39"/>
      <c r="I458" s="36"/>
    </row>
    <row r="459" spans="1:9" ht="12.5">
      <c r="A459" s="35"/>
      <c r="B459" s="36"/>
      <c r="C459" s="36"/>
      <c r="D459" s="37"/>
      <c r="E459" s="36"/>
      <c r="F459" s="36"/>
      <c r="G459" s="38"/>
      <c r="H459" s="39"/>
      <c r="I459" s="36"/>
    </row>
    <row r="460" spans="1:9" ht="12.5">
      <c r="A460" s="35"/>
      <c r="B460" s="36"/>
      <c r="C460" s="36"/>
      <c r="D460" s="37"/>
      <c r="E460" s="36"/>
      <c r="F460" s="36"/>
      <c r="G460" s="38"/>
      <c r="H460" s="39"/>
      <c r="I460" s="36"/>
    </row>
    <row r="461" spans="1:9" ht="12.5">
      <c r="A461" s="35"/>
      <c r="B461" s="36"/>
      <c r="C461" s="36"/>
      <c r="D461" s="37"/>
      <c r="E461" s="36"/>
      <c r="F461" s="36"/>
      <c r="G461" s="38"/>
      <c r="H461" s="39"/>
      <c r="I461" s="36"/>
    </row>
    <row r="462" spans="1:9" ht="12.5">
      <c r="A462" s="35"/>
      <c r="B462" s="36"/>
      <c r="C462" s="36"/>
      <c r="D462" s="37"/>
      <c r="E462" s="36"/>
      <c r="F462" s="36"/>
      <c r="G462" s="38"/>
      <c r="H462" s="39"/>
      <c r="I462" s="36"/>
    </row>
    <row r="463" spans="1:9" ht="12.5">
      <c r="A463" s="35"/>
      <c r="B463" s="36"/>
      <c r="C463" s="36"/>
      <c r="D463" s="37"/>
      <c r="E463" s="36"/>
      <c r="F463" s="36"/>
      <c r="G463" s="38"/>
      <c r="H463" s="39"/>
      <c r="I463" s="36"/>
    </row>
    <row r="464" spans="1:9" ht="12.5">
      <c r="A464" s="35"/>
      <c r="B464" s="36"/>
      <c r="C464" s="36"/>
      <c r="D464" s="37"/>
      <c r="E464" s="36"/>
      <c r="F464" s="36"/>
      <c r="G464" s="38"/>
      <c r="H464" s="39"/>
      <c r="I464" s="36"/>
    </row>
    <row r="465" spans="1:9" ht="12.5">
      <c r="A465" s="35"/>
      <c r="B465" s="36"/>
      <c r="C465" s="36"/>
      <c r="D465" s="37"/>
      <c r="E465" s="36"/>
      <c r="F465" s="36"/>
      <c r="G465" s="38"/>
      <c r="H465" s="39"/>
      <c r="I465" s="36"/>
    </row>
    <row r="466" spans="1:9" ht="12.5">
      <c r="A466" s="35"/>
      <c r="B466" s="36"/>
      <c r="C466" s="36"/>
      <c r="D466" s="37"/>
      <c r="E466" s="36"/>
      <c r="F466" s="36"/>
      <c r="G466" s="38"/>
      <c r="H466" s="39"/>
      <c r="I466" s="36"/>
    </row>
    <row r="467" spans="1:9" ht="12.5">
      <c r="A467" s="35"/>
      <c r="B467" s="36"/>
      <c r="C467" s="36"/>
      <c r="D467" s="37"/>
      <c r="E467" s="36"/>
      <c r="F467" s="36"/>
      <c r="G467" s="38"/>
      <c r="H467" s="39"/>
      <c r="I467" s="36"/>
    </row>
    <row r="468" spans="1:9" ht="12.5">
      <c r="A468" s="35"/>
      <c r="B468" s="36"/>
      <c r="C468" s="36"/>
      <c r="D468" s="37"/>
      <c r="E468" s="36"/>
      <c r="F468" s="36"/>
      <c r="G468" s="38"/>
      <c r="H468" s="39"/>
      <c r="I468" s="36"/>
    </row>
    <row r="469" spans="1:9" ht="12.5">
      <c r="A469" s="35"/>
      <c r="B469" s="36"/>
      <c r="C469" s="36"/>
      <c r="D469" s="37"/>
      <c r="E469" s="36"/>
      <c r="F469" s="36"/>
      <c r="G469" s="38"/>
      <c r="H469" s="39"/>
      <c r="I469" s="36"/>
    </row>
    <row r="470" spans="1:9" ht="12.5">
      <c r="A470" s="35"/>
      <c r="B470" s="36"/>
      <c r="C470" s="36"/>
      <c r="D470" s="37"/>
      <c r="E470" s="36"/>
      <c r="F470" s="36"/>
      <c r="G470" s="38"/>
      <c r="H470" s="39"/>
      <c r="I470" s="36"/>
    </row>
    <row r="471" spans="1:9" ht="12.5">
      <c r="A471" s="35"/>
      <c r="B471" s="36"/>
      <c r="C471" s="36"/>
      <c r="D471" s="37"/>
      <c r="E471" s="36"/>
      <c r="F471" s="36"/>
      <c r="G471" s="38"/>
      <c r="H471" s="39"/>
      <c r="I471" s="36"/>
    </row>
    <row r="472" spans="1:9" ht="12.5">
      <c r="A472" s="35"/>
      <c r="B472" s="36"/>
      <c r="C472" s="36"/>
      <c r="D472" s="37"/>
      <c r="E472" s="36"/>
      <c r="F472" s="36"/>
      <c r="G472" s="38"/>
      <c r="H472" s="39"/>
      <c r="I472" s="36"/>
    </row>
    <row r="473" spans="1:9" ht="12.5">
      <c r="A473" s="35"/>
      <c r="B473" s="36"/>
      <c r="C473" s="36"/>
      <c r="D473" s="37"/>
      <c r="E473" s="36"/>
      <c r="F473" s="36"/>
      <c r="G473" s="38"/>
      <c r="H473" s="39"/>
      <c r="I473" s="36"/>
    </row>
    <row r="474" spans="1:9" ht="12.5">
      <c r="A474" s="35"/>
      <c r="B474" s="36"/>
      <c r="C474" s="36"/>
      <c r="D474" s="37"/>
      <c r="E474" s="36"/>
      <c r="F474" s="36"/>
      <c r="G474" s="38"/>
      <c r="H474" s="39"/>
      <c r="I474" s="36"/>
    </row>
    <row r="475" spans="1:9" ht="12.5">
      <c r="A475" s="35"/>
      <c r="B475" s="36"/>
      <c r="C475" s="36"/>
      <c r="D475" s="37"/>
      <c r="E475" s="36"/>
      <c r="F475" s="36"/>
      <c r="G475" s="38"/>
      <c r="H475" s="39"/>
      <c r="I475" s="36"/>
    </row>
    <row r="476" spans="1:9" ht="12.5">
      <c r="A476" s="35"/>
      <c r="B476" s="36"/>
      <c r="C476" s="36"/>
      <c r="D476" s="37"/>
      <c r="E476" s="36"/>
      <c r="F476" s="36"/>
      <c r="G476" s="38"/>
      <c r="H476" s="39"/>
      <c r="I476" s="36"/>
    </row>
    <row r="477" spans="1:9" ht="12.5">
      <c r="A477" s="35"/>
      <c r="B477" s="36"/>
      <c r="C477" s="36"/>
      <c r="D477" s="37"/>
      <c r="E477" s="36"/>
      <c r="F477" s="36"/>
      <c r="G477" s="38"/>
      <c r="H477" s="39"/>
      <c r="I477" s="36"/>
    </row>
    <row r="478" spans="1:9" ht="12.5">
      <c r="A478" s="35"/>
      <c r="B478" s="36"/>
      <c r="C478" s="36"/>
      <c r="D478" s="37"/>
      <c r="E478" s="36"/>
      <c r="F478" s="36"/>
      <c r="G478" s="38"/>
      <c r="H478" s="39"/>
      <c r="I478" s="36"/>
    </row>
    <row r="479" spans="1:9" ht="12.5">
      <c r="A479" s="35"/>
      <c r="B479" s="36"/>
      <c r="C479" s="36"/>
      <c r="D479" s="37"/>
      <c r="E479" s="36"/>
      <c r="F479" s="36"/>
      <c r="G479" s="38"/>
      <c r="H479" s="39"/>
      <c r="I479" s="36"/>
    </row>
    <row r="480" spans="1:9" ht="12.5">
      <c r="A480" s="35"/>
      <c r="B480" s="36"/>
      <c r="C480" s="36"/>
      <c r="D480" s="37"/>
      <c r="E480" s="36"/>
      <c r="F480" s="36"/>
      <c r="G480" s="38"/>
      <c r="H480" s="39"/>
      <c r="I480" s="36"/>
    </row>
    <row r="481" spans="1:9" ht="12.5">
      <c r="A481" s="35"/>
      <c r="B481" s="36"/>
      <c r="C481" s="36"/>
      <c r="D481" s="37"/>
      <c r="E481" s="36"/>
      <c r="F481" s="36"/>
      <c r="G481" s="38"/>
      <c r="H481" s="39"/>
      <c r="I481" s="36"/>
    </row>
    <row r="482" spans="1:9" ht="12.5">
      <c r="A482" s="35"/>
      <c r="B482" s="36"/>
      <c r="C482" s="36"/>
      <c r="D482" s="37"/>
      <c r="E482" s="36"/>
      <c r="F482" s="36"/>
      <c r="G482" s="38"/>
      <c r="H482" s="39"/>
      <c r="I482" s="36"/>
    </row>
    <row r="483" spans="1:9" ht="12.5">
      <c r="A483" s="35"/>
      <c r="B483" s="36"/>
      <c r="C483" s="36"/>
      <c r="D483" s="37"/>
      <c r="E483" s="36"/>
      <c r="F483" s="36"/>
      <c r="G483" s="38"/>
      <c r="H483" s="39"/>
      <c r="I483" s="36"/>
    </row>
    <row r="484" spans="1:9" ht="12.5">
      <c r="A484" s="35"/>
      <c r="B484" s="36"/>
      <c r="C484" s="36"/>
      <c r="D484" s="37"/>
      <c r="E484" s="36"/>
      <c r="F484" s="36"/>
      <c r="G484" s="38"/>
      <c r="H484" s="39"/>
      <c r="I484" s="36"/>
    </row>
    <row r="485" spans="1:9" ht="12.5">
      <c r="A485" s="35"/>
      <c r="B485" s="36"/>
      <c r="C485" s="36"/>
      <c r="D485" s="37"/>
      <c r="E485" s="36"/>
      <c r="F485" s="36"/>
      <c r="G485" s="38"/>
      <c r="H485" s="39"/>
      <c r="I485" s="36"/>
    </row>
    <row r="486" spans="1:9" ht="12.5">
      <c r="A486" s="35"/>
      <c r="B486" s="36"/>
      <c r="C486" s="36"/>
      <c r="D486" s="37"/>
      <c r="E486" s="36"/>
      <c r="F486" s="36"/>
      <c r="G486" s="38"/>
      <c r="H486" s="39"/>
      <c r="I486" s="36"/>
    </row>
    <row r="487" spans="1:9" ht="12.5">
      <c r="A487" s="35"/>
      <c r="B487" s="36"/>
      <c r="C487" s="36"/>
      <c r="D487" s="37"/>
      <c r="E487" s="36"/>
      <c r="F487" s="36"/>
      <c r="G487" s="38"/>
      <c r="H487" s="39"/>
      <c r="I487" s="36"/>
    </row>
    <row r="488" spans="1:9" ht="12.5">
      <c r="A488" s="35"/>
      <c r="B488" s="36"/>
      <c r="C488" s="36"/>
      <c r="D488" s="37"/>
      <c r="E488" s="36"/>
      <c r="F488" s="36"/>
      <c r="G488" s="38"/>
      <c r="H488" s="39"/>
      <c r="I488" s="36"/>
    </row>
    <row r="489" spans="1:9" ht="12.5">
      <c r="A489" s="35"/>
      <c r="B489" s="36"/>
      <c r="C489" s="36"/>
      <c r="D489" s="37"/>
      <c r="E489" s="36"/>
      <c r="F489" s="36"/>
      <c r="G489" s="38"/>
      <c r="H489" s="39"/>
      <c r="I489" s="36"/>
    </row>
    <row r="490" spans="1:9" ht="12.5">
      <c r="A490" s="35"/>
      <c r="B490" s="36"/>
      <c r="C490" s="36"/>
      <c r="D490" s="37"/>
      <c r="E490" s="36"/>
      <c r="F490" s="36"/>
      <c r="G490" s="38"/>
      <c r="H490" s="39"/>
      <c r="I490" s="36"/>
    </row>
    <row r="491" spans="1:9" ht="12.5">
      <c r="A491" s="35"/>
      <c r="B491" s="36"/>
      <c r="C491" s="36"/>
      <c r="D491" s="37"/>
      <c r="E491" s="36"/>
      <c r="F491" s="36"/>
      <c r="G491" s="38"/>
      <c r="H491" s="39"/>
      <c r="I491" s="36"/>
    </row>
    <row r="492" spans="1:9" ht="12.5">
      <c r="A492" s="35"/>
      <c r="B492" s="36"/>
      <c r="C492" s="36"/>
      <c r="D492" s="37"/>
      <c r="E492" s="36"/>
      <c r="F492" s="36"/>
      <c r="G492" s="38"/>
      <c r="H492" s="39"/>
      <c r="I492" s="36"/>
    </row>
    <row r="493" spans="1:9" ht="12.5">
      <c r="A493" s="35"/>
      <c r="B493" s="36"/>
      <c r="C493" s="36"/>
      <c r="D493" s="37"/>
      <c r="E493" s="36"/>
      <c r="F493" s="36"/>
      <c r="G493" s="38"/>
      <c r="H493" s="39"/>
      <c r="I493" s="36"/>
    </row>
    <row r="494" spans="1:9" ht="12.5">
      <c r="A494" s="35"/>
      <c r="B494" s="36"/>
      <c r="C494" s="36"/>
      <c r="D494" s="37"/>
      <c r="E494" s="36"/>
      <c r="F494" s="36"/>
      <c r="G494" s="38"/>
      <c r="H494" s="39"/>
      <c r="I494" s="36"/>
    </row>
    <row r="495" spans="1:9" ht="12.5">
      <c r="A495" s="35"/>
      <c r="B495" s="36"/>
      <c r="C495" s="36"/>
      <c r="D495" s="37"/>
      <c r="E495" s="36"/>
      <c r="F495" s="36"/>
      <c r="G495" s="38"/>
      <c r="H495" s="39"/>
      <c r="I495" s="36"/>
    </row>
    <row r="496" spans="1:9" ht="12.5">
      <c r="A496" s="35"/>
      <c r="B496" s="36"/>
      <c r="C496" s="36"/>
      <c r="D496" s="37"/>
      <c r="E496" s="36"/>
      <c r="F496" s="36"/>
      <c r="G496" s="38"/>
      <c r="H496" s="39"/>
      <c r="I496" s="36"/>
    </row>
    <row r="497" spans="1:9" ht="12.5">
      <c r="A497" s="35"/>
      <c r="B497" s="36"/>
      <c r="C497" s="36"/>
      <c r="D497" s="37"/>
      <c r="E497" s="36"/>
      <c r="F497" s="36"/>
      <c r="G497" s="38"/>
      <c r="H497" s="39"/>
      <c r="I497" s="36"/>
    </row>
    <row r="498" spans="1:9" ht="12.5">
      <c r="A498" s="35"/>
      <c r="B498" s="36"/>
      <c r="C498" s="36"/>
      <c r="D498" s="37"/>
      <c r="E498" s="36"/>
      <c r="F498" s="36"/>
      <c r="G498" s="38"/>
      <c r="H498" s="39"/>
      <c r="I498" s="36"/>
    </row>
    <row r="499" spans="1:9" ht="12.5">
      <c r="A499" s="35"/>
      <c r="B499" s="36"/>
      <c r="C499" s="36"/>
      <c r="D499" s="37"/>
      <c r="E499" s="36"/>
      <c r="F499" s="36"/>
      <c r="G499" s="38"/>
      <c r="H499" s="39"/>
      <c r="I499" s="36"/>
    </row>
    <row r="500" spans="1:9" ht="12.5">
      <c r="A500" s="35"/>
      <c r="B500" s="36"/>
      <c r="C500" s="36"/>
      <c r="D500" s="37"/>
      <c r="E500" s="36"/>
      <c r="F500" s="36"/>
      <c r="G500" s="38"/>
      <c r="H500" s="39"/>
      <c r="I500" s="36"/>
    </row>
    <row r="501" spans="1:9" ht="12.5">
      <c r="A501" s="35"/>
      <c r="B501" s="36"/>
      <c r="C501" s="36"/>
      <c r="D501" s="37"/>
      <c r="E501" s="36"/>
      <c r="F501" s="36"/>
      <c r="G501" s="38"/>
      <c r="H501" s="39"/>
      <c r="I501" s="36"/>
    </row>
    <row r="502" spans="1:9" ht="12.5">
      <c r="A502" s="35"/>
      <c r="B502" s="36"/>
      <c r="C502" s="36"/>
      <c r="D502" s="37"/>
      <c r="E502" s="36"/>
      <c r="F502" s="36"/>
      <c r="G502" s="38"/>
      <c r="H502" s="39"/>
      <c r="I502" s="36"/>
    </row>
    <row r="503" spans="1:9" ht="12.5">
      <c r="A503" s="35"/>
      <c r="B503" s="36"/>
      <c r="C503" s="36"/>
      <c r="D503" s="37"/>
      <c r="E503" s="36"/>
      <c r="F503" s="36"/>
      <c r="G503" s="38"/>
      <c r="H503" s="39"/>
      <c r="I503" s="36"/>
    </row>
    <row r="504" spans="1:9" ht="12.5">
      <c r="A504" s="35"/>
      <c r="B504" s="36"/>
      <c r="C504" s="36"/>
      <c r="D504" s="37"/>
      <c r="E504" s="36"/>
      <c r="F504" s="36"/>
      <c r="G504" s="38"/>
      <c r="H504" s="39"/>
      <c r="I504" s="36"/>
    </row>
    <row r="505" spans="1:9" ht="12.5">
      <c r="A505" s="35"/>
      <c r="B505" s="36"/>
      <c r="C505" s="36"/>
      <c r="D505" s="37"/>
      <c r="E505" s="36"/>
      <c r="F505" s="36"/>
      <c r="G505" s="38"/>
      <c r="H505" s="39"/>
      <c r="I505" s="36"/>
    </row>
    <row r="506" spans="1:9" ht="12.5">
      <c r="A506" s="35"/>
      <c r="B506" s="36"/>
      <c r="C506" s="36"/>
      <c r="D506" s="37"/>
      <c r="E506" s="36"/>
      <c r="F506" s="36"/>
      <c r="G506" s="38"/>
      <c r="H506" s="39"/>
      <c r="I506" s="36"/>
    </row>
    <row r="507" spans="1:9" ht="12.5">
      <c r="A507" s="35"/>
      <c r="B507" s="36"/>
      <c r="C507" s="36"/>
      <c r="D507" s="37"/>
      <c r="E507" s="36"/>
      <c r="F507" s="36"/>
      <c r="G507" s="38"/>
      <c r="H507" s="39"/>
      <c r="I507" s="36"/>
    </row>
    <row r="508" spans="1:9" ht="12.5">
      <c r="A508" s="35"/>
      <c r="B508" s="36"/>
      <c r="C508" s="36"/>
      <c r="D508" s="37"/>
      <c r="E508" s="36"/>
      <c r="F508" s="36"/>
      <c r="G508" s="38"/>
      <c r="H508" s="39"/>
      <c r="I508" s="36"/>
    </row>
    <row r="509" spans="1:9" ht="12.5">
      <c r="A509" s="35"/>
      <c r="B509" s="36"/>
      <c r="C509" s="36"/>
      <c r="D509" s="37"/>
      <c r="E509" s="36"/>
      <c r="F509" s="36"/>
      <c r="G509" s="38"/>
      <c r="H509" s="39"/>
      <c r="I509" s="36"/>
    </row>
    <row r="510" spans="1:9" ht="12.5">
      <c r="A510" s="35"/>
      <c r="B510" s="36"/>
      <c r="C510" s="36"/>
      <c r="D510" s="37"/>
      <c r="E510" s="36"/>
      <c r="F510" s="36"/>
      <c r="G510" s="38"/>
      <c r="H510" s="39"/>
      <c r="I510" s="36"/>
    </row>
    <row r="511" spans="1:9" ht="12.5">
      <c r="A511" s="35"/>
      <c r="B511" s="36"/>
      <c r="C511" s="36"/>
      <c r="D511" s="37"/>
      <c r="E511" s="36"/>
      <c r="F511" s="36"/>
      <c r="G511" s="38"/>
      <c r="H511" s="39"/>
      <c r="I511" s="36"/>
    </row>
    <row r="512" spans="1:9" ht="12.5">
      <c r="A512" s="35"/>
      <c r="B512" s="36"/>
      <c r="C512" s="36"/>
      <c r="D512" s="37"/>
      <c r="E512" s="36"/>
      <c r="F512" s="36"/>
      <c r="G512" s="38"/>
      <c r="H512" s="39"/>
      <c r="I512" s="36"/>
    </row>
    <row r="513" spans="1:9" ht="12.5">
      <c r="A513" s="35"/>
      <c r="B513" s="36"/>
      <c r="C513" s="36"/>
      <c r="D513" s="37"/>
      <c r="E513" s="36"/>
      <c r="F513" s="36"/>
      <c r="G513" s="38"/>
      <c r="H513" s="39"/>
      <c r="I513" s="36"/>
    </row>
    <row r="514" spans="1:9" ht="12.5">
      <c r="A514" s="35"/>
      <c r="B514" s="36"/>
      <c r="C514" s="36"/>
      <c r="D514" s="37"/>
      <c r="E514" s="36"/>
      <c r="F514" s="36"/>
      <c r="G514" s="38"/>
      <c r="H514" s="39"/>
      <c r="I514" s="36"/>
    </row>
    <row r="515" spans="1:9" ht="12.5">
      <c r="A515" s="35"/>
      <c r="B515" s="36"/>
      <c r="C515" s="36"/>
      <c r="D515" s="37"/>
      <c r="E515" s="36"/>
      <c r="F515" s="36"/>
      <c r="G515" s="38"/>
      <c r="H515" s="39"/>
      <c r="I515" s="36"/>
    </row>
    <row r="516" spans="1:9" ht="12.5">
      <c r="A516" s="35"/>
      <c r="B516" s="36"/>
      <c r="C516" s="36"/>
      <c r="D516" s="37"/>
      <c r="E516" s="36"/>
      <c r="F516" s="36"/>
      <c r="G516" s="38"/>
      <c r="H516" s="39"/>
      <c r="I516" s="36"/>
    </row>
    <row r="517" spans="1:9" ht="12.5">
      <c r="A517" s="35"/>
      <c r="B517" s="36"/>
      <c r="C517" s="36"/>
      <c r="D517" s="37"/>
      <c r="E517" s="36"/>
      <c r="F517" s="36"/>
      <c r="G517" s="38"/>
      <c r="H517" s="39"/>
      <c r="I517" s="36"/>
    </row>
    <row r="518" spans="1:9" ht="12.5">
      <c r="A518" s="35"/>
      <c r="B518" s="36"/>
      <c r="C518" s="36"/>
      <c r="D518" s="37"/>
      <c r="E518" s="36"/>
      <c r="F518" s="36"/>
      <c r="G518" s="38"/>
      <c r="H518" s="39"/>
      <c r="I518" s="36"/>
    </row>
    <row r="519" spans="1:9" ht="12.5">
      <c r="A519" s="35"/>
      <c r="B519" s="36"/>
      <c r="C519" s="36"/>
      <c r="D519" s="37"/>
      <c r="E519" s="36"/>
      <c r="F519" s="36"/>
      <c r="G519" s="38"/>
      <c r="H519" s="39"/>
      <c r="I519" s="36"/>
    </row>
    <row r="520" spans="1:9" ht="12.5">
      <c r="A520" s="35"/>
      <c r="B520" s="36"/>
      <c r="C520" s="36"/>
      <c r="D520" s="37"/>
      <c r="E520" s="36"/>
      <c r="F520" s="36"/>
      <c r="G520" s="38"/>
      <c r="H520" s="39"/>
      <c r="I520" s="36"/>
    </row>
    <row r="521" spans="1:9" ht="12.5">
      <c r="A521" s="35"/>
      <c r="B521" s="36"/>
      <c r="C521" s="36"/>
      <c r="D521" s="37"/>
      <c r="E521" s="36"/>
      <c r="F521" s="36"/>
      <c r="G521" s="38"/>
      <c r="H521" s="39"/>
      <c r="I521" s="36"/>
    </row>
    <row r="522" spans="1:9" ht="12.5">
      <c r="A522" s="35"/>
      <c r="B522" s="36"/>
      <c r="C522" s="36"/>
      <c r="D522" s="37"/>
      <c r="E522" s="36"/>
      <c r="F522" s="36"/>
      <c r="G522" s="38"/>
      <c r="H522" s="39"/>
      <c r="I522" s="36"/>
    </row>
    <row r="523" spans="1:9" ht="12.5">
      <c r="A523" s="35"/>
      <c r="B523" s="36"/>
      <c r="C523" s="36"/>
      <c r="D523" s="37"/>
      <c r="E523" s="36"/>
      <c r="F523" s="36"/>
      <c r="G523" s="38"/>
      <c r="H523" s="39"/>
      <c r="I523" s="36"/>
    </row>
    <row r="524" spans="1:9" ht="12.5">
      <c r="A524" s="35"/>
      <c r="B524" s="36"/>
      <c r="C524" s="36"/>
      <c r="D524" s="37"/>
      <c r="E524" s="36"/>
      <c r="F524" s="36"/>
      <c r="G524" s="38"/>
      <c r="H524" s="39"/>
      <c r="I524" s="36"/>
    </row>
    <row r="525" spans="1:9" ht="12.5">
      <c r="A525" s="35"/>
      <c r="B525" s="36"/>
      <c r="C525" s="36"/>
      <c r="D525" s="37"/>
      <c r="E525" s="36"/>
      <c r="F525" s="36"/>
      <c r="G525" s="38"/>
      <c r="H525" s="39"/>
      <c r="I525" s="36"/>
    </row>
    <row r="526" spans="1:9" ht="12.5">
      <c r="A526" s="35"/>
      <c r="B526" s="36"/>
      <c r="C526" s="36"/>
      <c r="D526" s="37"/>
      <c r="E526" s="36"/>
      <c r="F526" s="36"/>
      <c r="G526" s="38"/>
      <c r="H526" s="39"/>
      <c r="I526" s="36"/>
    </row>
    <row r="527" spans="1:9" ht="12.5">
      <c r="A527" s="35"/>
      <c r="B527" s="36"/>
      <c r="C527" s="36"/>
      <c r="D527" s="37"/>
      <c r="E527" s="36"/>
      <c r="F527" s="36"/>
      <c r="G527" s="38"/>
      <c r="H527" s="39"/>
      <c r="I527" s="36"/>
    </row>
    <row r="528" spans="1:9" ht="12.5">
      <c r="A528" s="35"/>
      <c r="B528" s="36"/>
      <c r="C528" s="36"/>
      <c r="D528" s="37"/>
      <c r="E528" s="36"/>
      <c r="F528" s="36"/>
      <c r="G528" s="38"/>
      <c r="H528" s="39"/>
      <c r="I528" s="36"/>
    </row>
    <row r="529" spans="1:9" ht="12.5">
      <c r="A529" s="35"/>
      <c r="B529" s="36"/>
      <c r="C529" s="36"/>
      <c r="D529" s="37"/>
      <c r="E529" s="36"/>
      <c r="F529" s="36"/>
      <c r="G529" s="38"/>
      <c r="H529" s="39"/>
      <c r="I529" s="36"/>
    </row>
    <row r="530" spans="1:9" ht="12.5">
      <c r="A530" s="35"/>
      <c r="B530" s="36"/>
      <c r="C530" s="36"/>
      <c r="D530" s="37"/>
      <c r="E530" s="36"/>
      <c r="F530" s="36"/>
      <c r="G530" s="38"/>
      <c r="H530" s="39"/>
      <c r="I530" s="36"/>
    </row>
    <row r="531" spans="1:9" ht="12.5">
      <c r="A531" s="35"/>
      <c r="B531" s="36"/>
      <c r="C531" s="36"/>
      <c r="D531" s="37"/>
      <c r="E531" s="36"/>
      <c r="F531" s="36"/>
      <c r="G531" s="38"/>
      <c r="H531" s="39"/>
      <c r="I531" s="36"/>
    </row>
    <row r="532" spans="1:9" ht="12.5">
      <c r="A532" s="35"/>
      <c r="B532" s="36"/>
      <c r="C532" s="36"/>
      <c r="D532" s="37"/>
      <c r="E532" s="36"/>
      <c r="F532" s="36"/>
      <c r="G532" s="38"/>
      <c r="H532" s="39"/>
      <c r="I532" s="36"/>
    </row>
    <row r="533" spans="1:9" ht="12.5">
      <c r="A533" s="35"/>
      <c r="B533" s="36"/>
      <c r="C533" s="36"/>
      <c r="D533" s="37"/>
      <c r="E533" s="36"/>
      <c r="F533" s="36"/>
      <c r="G533" s="38"/>
      <c r="H533" s="39"/>
      <c r="I533" s="36"/>
    </row>
    <row r="534" spans="1:9" ht="12.5">
      <c r="A534" s="35"/>
      <c r="B534" s="36"/>
      <c r="C534" s="36"/>
      <c r="D534" s="37"/>
      <c r="E534" s="36"/>
      <c r="F534" s="36"/>
      <c r="G534" s="38"/>
      <c r="H534" s="39"/>
      <c r="I534" s="36"/>
    </row>
    <row r="535" spans="1:9" ht="12.5">
      <c r="A535" s="35"/>
      <c r="B535" s="36"/>
      <c r="C535" s="36"/>
      <c r="D535" s="37"/>
      <c r="E535" s="36"/>
      <c r="F535" s="36"/>
      <c r="G535" s="38"/>
      <c r="H535" s="39"/>
      <c r="I535" s="36"/>
    </row>
    <row r="536" spans="1:9" ht="12.5">
      <c r="A536" s="35"/>
      <c r="B536" s="36"/>
      <c r="C536" s="36"/>
      <c r="D536" s="37"/>
      <c r="E536" s="36"/>
      <c r="F536" s="36"/>
      <c r="G536" s="38"/>
      <c r="H536" s="39"/>
      <c r="I536" s="36"/>
    </row>
    <row r="537" spans="1:9" ht="12.5">
      <c r="A537" s="35"/>
      <c r="B537" s="36"/>
      <c r="C537" s="36"/>
      <c r="D537" s="37"/>
      <c r="E537" s="36"/>
      <c r="F537" s="36"/>
      <c r="G537" s="38"/>
      <c r="H537" s="39"/>
      <c r="I537" s="36"/>
    </row>
    <row r="538" spans="1:9" ht="12.5">
      <c r="A538" s="35"/>
      <c r="B538" s="36"/>
      <c r="C538" s="36"/>
      <c r="D538" s="37"/>
      <c r="E538" s="36"/>
      <c r="F538" s="36"/>
      <c r="G538" s="38"/>
      <c r="H538" s="39"/>
      <c r="I538" s="36"/>
    </row>
    <row r="539" spans="1:9" ht="12.5">
      <c r="A539" s="35"/>
      <c r="B539" s="36"/>
      <c r="C539" s="36"/>
      <c r="D539" s="37"/>
      <c r="E539" s="36"/>
      <c r="F539" s="36"/>
      <c r="G539" s="38"/>
      <c r="H539" s="39"/>
      <c r="I539" s="36"/>
    </row>
    <row r="540" spans="1:9" ht="12.5">
      <c r="A540" s="35"/>
      <c r="B540" s="36"/>
      <c r="C540" s="36"/>
      <c r="D540" s="37"/>
      <c r="E540" s="36"/>
      <c r="F540" s="36"/>
      <c r="G540" s="38"/>
      <c r="H540" s="39"/>
      <c r="I540" s="36"/>
    </row>
    <row r="541" spans="1:9" ht="12.5">
      <c r="A541" s="35"/>
      <c r="B541" s="36"/>
      <c r="C541" s="36"/>
      <c r="D541" s="37"/>
      <c r="E541" s="36"/>
      <c r="F541" s="36"/>
      <c r="G541" s="38"/>
      <c r="H541" s="39"/>
      <c r="I541" s="36"/>
    </row>
    <row r="542" spans="1:9" ht="12.5">
      <c r="A542" s="35"/>
      <c r="B542" s="36"/>
      <c r="C542" s="36"/>
      <c r="D542" s="37"/>
      <c r="E542" s="36"/>
      <c r="F542" s="36"/>
      <c r="G542" s="38"/>
      <c r="H542" s="39"/>
      <c r="I542" s="36"/>
    </row>
    <row r="543" spans="1:9" ht="12.5">
      <c r="A543" s="35"/>
      <c r="B543" s="36"/>
      <c r="C543" s="36"/>
      <c r="D543" s="37"/>
      <c r="E543" s="36"/>
      <c r="F543" s="36"/>
      <c r="G543" s="38"/>
      <c r="H543" s="39"/>
      <c r="I543" s="36"/>
    </row>
    <row r="544" spans="1:9" ht="12.5">
      <c r="A544" s="35"/>
      <c r="B544" s="36"/>
      <c r="C544" s="36"/>
      <c r="D544" s="37"/>
      <c r="E544" s="36"/>
      <c r="F544" s="36"/>
      <c r="G544" s="38"/>
      <c r="H544" s="39"/>
      <c r="I544" s="36"/>
    </row>
    <row r="545" spans="1:9" ht="12.5">
      <c r="A545" s="35"/>
      <c r="B545" s="36"/>
      <c r="C545" s="36"/>
      <c r="D545" s="37"/>
      <c r="E545" s="36"/>
      <c r="F545" s="36"/>
      <c r="G545" s="38"/>
      <c r="H545" s="39"/>
      <c r="I545" s="36"/>
    </row>
    <row r="546" spans="1:9" ht="12.5">
      <c r="A546" s="35"/>
      <c r="B546" s="36"/>
      <c r="C546" s="36"/>
      <c r="D546" s="37"/>
      <c r="E546" s="36"/>
      <c r="F546" s="36"/>
      <c r="G546" s="38"/>
      <c r="H546" s="39"/>
      <c r="I546" s="36"/>
    </row>
    <row r="547" spans="1:9" ht="12.5">
      <c r="A547" s="35"/>
      <c r="B547" s="36"/>
      <c r="C547" s="36"/>
      <c r="D547" s="37"/>
      <c r="E547" s="36"/>
      <c r="F547" s="36"/>
      <c r="G547" s="38"/>
      <c r="H547" s="39"/>
      <c r="I547" s="36"/>
    </row>
    <row r="548" spans="1:9" ht="12.5">
      <c r="A548" s="35"/>
      <c r="B548" s="36"/>
      <c r="C548" s="36"/>
      <c r="D548" s="37"/>
      <c r="E548" s="36"/>
      <c r="F548" s="36"/>
      <c r="G548" s="38"/>
      <c r="H548" s="39"/>
      <c r="I548" s="36"/>
    </row>
    <row r="549" spans="1:9" ht="12.5">
      <c r="A549" s="35"/>
      <c r="B549" s="36"/>
      <c r="C549" s="36"/>
      <c r="D549" s="37"/>
      <c r="E549" s="36"/>
      <c r="F549" s="36"/>
      <c r="G549" s="38"/>
      <c r="H549" s="39"/>
      <c r="I549" s="36"/>
    </row>
    <row r="550" spans="1:9" ht="12.5">
      <c r="A550" s="35"/>
      <c r="B550" s="36"/>
      <c r="C550" s="36"/>
      <c r="D550" s="37"/>
      <c r="E550" s="36"/>
      <c r="F550" s="36"/>
      <c r="G550" s="38"/>
      <c r="H550" s="39"/>
      <c r="I550" s="36"/>
    </row>
    <row r="551" spans="1:9" ht="12.5">
      <c r="A551" s="35"/>
      <c r="B551" s="36"/>
      <c r="C551" s="36"/>
      <c r="D551" s="37"/>
      <c r="E551" s="36"/>
      <c r="F551" s="36"/>
      <c r="G551" s="38"/>
      <c r="H551" s="39"/>
      <c r="I551" s="36"/>
    </row>
    <row r="552" spans="1:9" ht="12.5">
      <c r="A552" s="35"/>
      <c r="B552" s="36"/>
      <c r="C552" s="36"/>
      <c r="D552" s="37"/>
      <c r="E552" s="36"/>
      <c r="F552" s="36"/>
      <c r="G552" s="38"/>
      <c r="H552" s="39"/>
      <c r="I552" s="36"/>
    </row>
    <row r="553" spans="1:9" ht="12.5">
      <c r="A553" s="35"/>
      <c r="B553" s="36"/>
      <c r="C553" s="36"/>
      <c r="D553" s="37"/>
      <c r="E553" s="36"/>
      <c r="F553" s="36"/>
      <c r="G553" s="38"/>
      <c r="H553" s="39"/>
      <c r="I553" s="36"/>
    </row>
    <row r="554" spans="1:9" ht="12.5">
      <c r="A554" s="35"/>
      <c r="B554" s="36"/>
      <c r="C554" s="36"/>
      <c r="D554" s="37"/>
      <c r="E554" s="36"/>
      <c r="F554" s="36"/>
      <c r="G554" s="38"/>
      <c r="H554" s="39"/>
      <c r="I554" s="36"/>
    </row>
    <row r="555" spans="1:9" ht="12.5">
      <c r="A555" s="35"/>
      <c r="B555" s="36"/>
      <c r="C555" s="36"/>
      <c r="D555" s="37"/>
      <c r="E555" s="36"/>
      <c r="F555" s="36"/>
      <c r="G555" s="38"/>
      <c r="H555" s="39"/>
      <c r="I555" s="36"/>
    </row>
    <row r="556" spans="1:9" ht="12.5">
      <c r="A556" s="35"/>
      <c r="B556" s="36"/>
      <c r="C556" s="36"/>
      <c r="D556" s="37"/>
      <c r="E556" s="36"/>
      <c r="F556" s="36"/>
      <c r="G556" s="38"/>
      <c r="H556" s="39"/>
      <c r="I556" s="36"/>
    </row>
    <row r="557" spans="1:9" ht="12.5">
      <c r="A557" s="35"/>
      <c r="B557" s="36"/>
      <c r="C557" s="36"/>
      <c r="D557" s="37"/>
      <c r="E557" s="36"/>
      <c r="F557" s="36"/>
      <c r="G557" s="38"/>
      <c r="H557" s="39"/>
      <c r="I557" s="36"/>
    </row>
    <row r="558" spans="1:9" ht="12.5">
      <c r="A558" s="35"/>
      <c r="B558" s="36"/>
      <c r="C558" s="36"/>
      <c r="D558" s="37"/>
      <c r="E558" s="36"/>
      <c r="F558" s="36"/>
      <c r="G558" s="38"/>
      <c r="H558" s="39"/>
      <c r="I558" s="36"/>
    </row>
    <row r="559" spans="1:9" ht="12.5">
      <c r="A559" s="35"/>
      <c r="B559" s="36"/>
      <c r="C559" s="36"/>
      <c r="D559" s="37"/>
      <c r="E559" s="36"/>
      <c r="F559" s="36"/>
      <c r="G559" s="38"/>
      <c r="H559" s="39"/>
      <c r="I559" s="36"/>
    </row>
    <row r="560" spans="1:9" ht="12.5">
      <c r="A560" s="35"/>
      <c r="B560" s="36"/>
      <c r="C560" s="36"/>
      <c r="D560" s="37"/>
      <c r="E560" s="36"/>
      <c r="F560" s="36"/>
      <c r="G560" s="38"/>
      <c r="H560" s="39"/>
      <c r="I560" s="36"/>
    </row>
    <row r="561" spans="1:9" ht="12.5">
      <c r="A561" s="35"/>
      <c r="B561" s="36"/>
      <c r="C561" s="36"/>
      <c r="D561" s="37"/>
      <c r="E561" s="36"/>
      <c r="F561" s="36"/>
      <c r="G561" s="38"/>
      <c r="H561" s="39"/>
      <c r="I561" s="36"/>
    </row>
    <row r="562" spans="1:9" ht="12.5">
      <c r="A562" s="35"/>
      <c r="B562" s="36"/>
      <c r="C562" s="36"/>
      <c r="D562" s="37"/>
      <c r="E562" s="36"/>
      <c r="F562" s="36"/>
      <c r="G562" s="38"/>
      <c r="H562" s="39"/>
      <c r="I562" s="36"/>
    </row>
    <row r="563" spans="1:9" ht="12.5">
      <c r="A563" s="35"/>
      <c r="B563" s="36"/>
      <c r="C563" s="36"/>
      <c r="D563" s="37"/>
      <c r="E563" s="36"/>
      <c r="F563" s="36"/>
      <c r="G563" s="38"/>
      <c r="H563" s="39"/>
      <c r="I563" s="36"/>
    </row>
    <row r="564" spans="1:9" ht="12.5">
      <c r="A564" s="35"/>
      <c r="B564" s="36"/>
      <c r="C564" s="36"/>
      <c r="D564" s="37"/>
      <c r="E564" s="36"/>
      <c r="F564" s="36"/>
      <c r="G564" s="38"/>
      <c r="H564" s="39"/>
      <c r="I564" s="36"/>
    </row>
    <row r="565" spans="1:9" ht="12.5">
      <c r="A565" s="35"/>
      <c r="B565" s="36"/>
      <c r="C565" s="36"/>
      <c r="D565" s="37"/>
      <c r="E565" s="36"/>
      <c r="F565" s="36"/>
      <c r="G565" s="38"/>
      <c r="H565" s="39"/>
      <c r="I565" s="36"/>
    </row>
    <row r="566" spans="1:9" ht="12.5">
      <c r="A566" s="35"/>
      <c r="B566" s="36"/>
      <c r="C566" s="36"/>
      <c r="D566" s="37"/>
      <c r="E566" s="36"/>
      <c r="F566" s="36"/>
      <c r="G566" s="38"/>
      <c r="H566" s="39"/>
      <c r="I566" s="36"/>
    </row>
    <row r="567" spans="1:9" ht="12.5">
      <c r="A567" s="35"/>
      <c r="B567" s="36"/>
      <c r="C567" s="36"/>
      <c r="D567" s="37"/>
      <c r="E567" s="36"/>
      <c r="F567" s="36"/>
      <c r="G567" s="38"/>
      <c r="H567" s="39"/>
      <c r="I567" s="36"/>
    </row>
    <row r="568" spans="1:9" ht="12.5">
      <c r="A568" s="35"/>
      <c r="B568" s="36"/>
      <c r="C568" s="36"/>
      <c r="D568" s="37"/>
      <c r="E568" s="36"/>
      <c r="F568" s="36"/>
      <c r="G568" s="38"/>
      <c r="H568" s="39"/>
      <c r="I568" s="36"/>
    </row>
    <row r="569" spans="1:9" ht="12.5">
      <c r="A569" s="35"/>
      <c r="B569" s="36"/>
      <c r="C569" s="36"/>
      <c r="D569" s="37"/>
      <c r="E569" s="36"/>
      <c r="F569" s="36"/>
      <c r="G569" s="38"/>
      <c r="H569" s="39"/>
      <c r="I569" s="36"/>
    </row>
    <row r="570" spans="1:9" ht="12.5">
      <c r="A570" s="35"/>
      <c r="B570" s="36"/>
      <c r="C570" s="36"/>
      <c r="D570" s="37"/>
      <c r="E570" s="36"/>
      <c r="F570" s="36"/>
      <c r="G570" s="38"/>
      <c r="H570" s="39"/>
      <c r="I570" s="36"/>
    </row>
    <row r="571" spans="1:9" ht="12.5">
      <c r="A571" s="35"/>
      <c r="B571" s="36"/>
      <c r="C571" s="36"/>
      <c r="D571" s="37"/>
      <c r="E571" s="36"/>
      <c r="F571" s="36"/>
      <c r="G571" s="38"/>
      <c r="H571" s="39"/>
      <c r="I571" s="36"/>
    </row>
    <row r="572" spans="1:9" ht="12.5">
      <c r="A572" s="35"/>
      <c r="B572" s="36"/>
      <c r="C572" s="36"/>
      <c r="D572" s="37"/>
      <c r="E572" s="36"/>
      <c r="F572" s="36"/>
      <c r="G572" s="38"/>
      <c r="H572" s="39"/>
      <c r="I572" s="36"/>
    </row>
    <row r="573" spans="1:9" ht="12.5">
      <c r="A573" s="35"/>
      <c r="B573" s="36"/>
      <c r="C573" s="36"/>
      <c r="D573" s="37"/>
      <c r="E573" s="36"/>
      <c r="F573" s="36"/>
      <c r="G573" s="38"/>
      <c r="H573" s="39"/>
      <c r="I573" s="36"/>
    </row>
    <row r="574" spans="1:9" ht="12.5">
      <c r="A574" s="35"/>
      <c r="B574" s="36"/>
      <c r="C574" s="36"/>
      <c r="D574" s="37"/>
      <c r="E574" s="36"/>
      <c r="F574" s="36"/>
      <c r="G574" s="38"/>
      <c r="H574" s="39"/>
      <c r="I574" s="36"/>
    </row>
    <row r="575" spans="1:9" ht="12.5">
      <c r="A575" s="35"/>
      <c r="B575" s="36"/>
      <c r="C575" s="36"/>
      <c r="D575" s="37"/>
      <c r="E575" s="36"/>
      <c r="F575" s="36"/>
      <c r="G575" s="38"/>
      <c r="H575" s="39"/>
      <c r="I575" s="36"/>
    </row>
    <row r="576" spans="1:9" ht="12.5">
      <c r="A576" s="35"/>
      <c r="B576" s="36"/>
      <c r="C576" s="36"/>
      <c r="D576" s="37"/>
      <c r="E576" s="36"/>
      <c r="F576" s="36"/>
      <c r="G576" s="38"/>
      <c r="H576" s="39"/>
      <c r="I576" s="36"/>
    </row>
    <row r="577" spans="1:9" ht="12.5">
      <c r="A577" s="35"/>
      <c r="B577" s="36"/>
      <c r="C577" s="36"/>
      <c r="D577" s="37"/>
      <c r="E577" s="36"/>
      <c r="F577" s="36"/>
      <c r="G577" s="38"/>
      <c r="H577" s="39"/>
      <c r="I577" s="36"/>
    </row>
    <row r="578" spans="1:9" ht="12.5">
      <c r="A578" s="35"/>
      <c r="B578" s="36"/>
      <c r="C578" s="36"/>
      <c r="D578" s="37"/>
      <c r="E578" s="36"/>
      <c r="F578" s="36"/>
      <c r="G578" s="38"/>
      <c r="H578" s="39"/>
      <c r="I578" s="36"/>
    </row>
    <row r="579" spans="1:9" ht="12.5">
      <c r="A579" s="35"/>
      <c r="B579" s="36"/>
      <c r="C579" s="36"/>
      <c r="D579" s="37"/>
      <c r="E579" s="36"/>
      <c r="F579" s="36"/>
      <c r="G579" s="38"/>
      <c r="H579" s="39"/>
      <c r="I579" s="36"/>
    </row>
    <row r="580" spans="1:9" ht="12.5">
      <c r="A580" s="35"/>
      <c r="B580" s="36"/>
      <c r="C580" s="36"/>
      <c r="D580" s="37"/>
      <c r="E580" s="36"/>
      <c r="F580" s="36"/>
      <c r="G580" s="38"/>
      <c r="H580" s="39"/>
      <c r="I580" s="36"/>
    </row>
    <row r="581" spans="1:9" ht="12.5">
      <c r="A581" s="35"/>
      <c r="B581" s="36"/>
      <c r="C581" s="36"/>
      <c r="D581" s="37"/>
      <c r="E581" s="36"/>
      <c r="F581" s="36"/>
      <c r="G581" s="38"/>
      <c r="H581" s="39"/>
      <c r="I581" s="36"/>
    </row>
    <row r="582" spans="1:9" ht="12.5">
      <c r="A582" s="35"/>
      <c r="B582" s="36"/>
      <c r="C582" s="36"/>
      <c r="D582" s="37"/>
      <c r="E582" s="36"/>
      <c r="F582" s="36"/>
      <c r="G582" s="38"/>
      <c r="H582" s="39"/>
      <c r="I582" s="36"/>
    </row>
    <row r="583" spans="1:9" ht="12.5">
      <c r="A583" s="35"/>
      <c r="B583" s="36"/>
      <c r="C583" s="36"/>
      <c r="D583" s="37"/>
      <c r="E583" s="36"/>
      <c r="F583" s="36"/>
      <c r="G583" s="38"/>
      <c r="H583" s="39"/>
      <c r="I583" s="36"/>
    </row>
    <row r="584" spans="1:9" ht="12.5">
      <c r="A584" s="35"/>
      <c r="B584" s="36"/>
      <c r="C584" s="36"/>
      <c r="D584" s="37"/>
      <c r="E584" s="36"/>
      <c r="F584" s="36"/>
      <c r="G584" s="38"/>
      <c r="H584" s="39"/>
      <c r="I584" s="36"/>
    </row>
    <row r="585" spans="1:9" ht="12.5">
      <c r="A585" s="35"/>
      <c r="B585" s="36"/>
      <c r="C585" s="36"/>
      <c r="D585" s="37"/>
      <c r="E585" s="36"/>
      <c r="F585" s="36"/>
      <c r="G585" s="38"/>
      <c r="H585" s="39"/>
      <c r="I585" s="36"/>
    </row>
    <row r="586" spans="1:9" ht="12.5">
      <c r="A586" s="35"/>
      <c r="B586" s="36"/>
      <c r="C586" s="36"/>
      <c r="D586" s="37"/>
      <c r="E586" s="36"/>
      <c r="F586" s="36"/>
      <c r="G586" s="38"/>
      <c r="H586" s="39"/>
      <c r="I586" s="36"/>
    </row>
    <row r="587" spans="1:9" ht="12.5">
      <c r="A587" s="35"/>
      <c r="B587" s="36"/>
      <c r="C587" s="36"/>
      <c r="D587" s="37"/>
      <c r="E587" s="36"/>
      <c r="F587" s="36"/>
      <c r="G587" s="38"/>
      <c r="H587" s="39"/>
      <c r="I587" s="36"/>
    </row>
    <row r="588" spans="1:9" ht="12.5">
      <c r="A588" s="35"/>
      <c r="B588" s="36"/>
      <c r="C588" s="36"/>
      <c r="D588" s="37"/>
      <c r="E588" s="36"/>
      <c r="F588" s="36"/>
      <c r="G588" s="38"/>
      <c r="H588" s="39"/>
      <c r="I588" s="36"/>
    </row>
    <row r="589" spans="1:9" ht="12.5">
      <c r="A589" s="35"/>
      <c r="B589" s="36"/>
      <c r="C589" s="36"/>
      <c r="D589" s="37"/>
      <c r="E589" s="36"/>
      <c r="F589" s="36"/>
      <c r="G589" s="38"/>
      <c r="H589" s="39"/>
      <c r="I589" s="36"/>
    </row>
    <row r="590" spans="1:9" ht="12.5">
      <c r="A590" s="35"/>
      <c r="B590" s="36"/>
      <c r="C590" s="36"/>
      <c r="D590" s="37"/>
      <c r="E590" s="36"/>
      <c r="F590" s="36"/>
      <c r="G590" s="38"/>
      <c r="H590" s="39"/>
      <c r="I590" s="36"/>
    </row>
    <row r="591" spans="1:9" ht="12.5">
      <c r="A591" s="35"/>
      <c r="B591" s="36"/>
      <c r="C591" s="36"/>
      <c r="D591" s="37"/>
      <c r="E591" s="36"/>
      <c r="F591" s="36"/>
      <c r="G591" s="38"/>
      <c r="H591" s="39"/>
      <c r="I591" s="36"/>
    </row>
    <row r="592" spans="1:9" ht="12.5">
      <c r="A592" s="35"/>
      <c r="B592" s="36"/>
      <c r="C592" s="36"/>
      <c r="D592" s="37"/>
      <c r="E592" s="36"/>
      <c r="F592" s="36"/>
      <c r="G592" s="38"/>
      <c r="H592" s="39"/>
      <c r="I592" s="36"/>
    </row>
    <row r="593" spans="1:9" ht="12.5">
      <c r="A593" s="35"/>
      <c r="B593" s="36"/>
      <c r="C593" s="36"/>
      <c r="D593" s="37"/>
      <c r="E593" s="36"/>
      <c r="F593" s="36"/>
      <c r="G593" s="38"/>
      <c r="H593" s="39"/>
      <c r="I593" s="36"/>
    </row>
    <row r="594" spans="1:9" ht="12.5">
      <c r="A594" s="35"/>
      <c r="B594" s="36"/>
      <c r="C594" s="36"/>
      <c r="D594" s="37"/>
      <c r="E594" s="36"/>
      <c r="F594" s="36"/>
      <c r="G594" s="38"/>
      <c r="H594" s="39"/>
      <c r="I594" s="36"/>
    </row>
    <row r="595" spans="1:9" ht="12.5">
      <c r="A595" s="35"/>
      <c r="B595" s="36"/>
      <c r="C595" s="36"/>
      <c r="D595" s="37"/>
      <c r="E595" s="36"/>
      <c r="F595" s="36"/>
      <c r="G595" s="38"/>
      <c r="H595" s="39"/>
      <c r="I595" s="36"/>
    </row>
    <row r="596" spans="1:9" ht="12.5">
      <c r="A596" s="35"/>
      <c r="B596" s="36"/>
      <c r="C596" s="36"/>
      <c r="D596" s="37"/>
      <c r="E596" s="36"/>
      <c r="F596" s="36"/>
      <c r="G596" s="38"/>
      <c r="H596" s="39"/>
      <c r="I596" s="36"/>
    </row>
    <row r="597" spans="1:9" ht="12.5">
      <c r="A597" s="35"/>
      <c r="B597" s="36"/>
      <c r="C597" s="36"/>
      <c r="D597" s="37"/>
      <c r="E597" s="36"/>
      <c r="F597" s="36"/>
      <c r="G597" s="38"/>
      <c r="H597" s="39"/>
      <c r="I597" s="36"/>
    </row>
    <row r="598" spans="1:9" ht="12.5">
      <c r="A598" s="35"/>
      <c r="B598" s="36"/>
      <c r="C598" s="36"/>
      <c r="D598" s="37"/>
      <c r="E598" s="36"/>
      <c r="F598" s="36"/>
      <c r="G598" s="38"/>
      <c r="H598" s="39"/>
      <c r="I598" s="36"/>
    </row>
    <row r="599" spans="1:9" ht="12.5">
      <c r="A599" s="35"/>
      <c r="B599" s="36"/>
      <c r="C599" s="36"/>
      <c r="D599" s="37"/>
      <c r="E599" s="36"/>
      <c r="F599" s="36"/>
      <c r="G599" s="38"/>
      <c r="H599" s="39"/>
      <c r="I599" s="36"/>
    </row>
    <row r="600" spans="1:9" ht="12.5">
      <c r="A600" s="35"/>
      <c r="B600" s="36"/>
      <c r="C600" s="36"/>
      <c r="D600" s="37"/>
      <c r="E600" s="36"/>
      <c r="F600" s="36"/>
      <c r="G600" s="38"/>
      <c r="H600" s="39"/>
      <c r="I600" s="36"/>
    </row>
    <row r="601" spans="1:9" ht="12.5">
      <c r="A601" s="35"/>
      <c r="B601" s="36"/>
      <c r="C601" s="36"/>
      <c r="D601" s="37"/>
      <c r="E601" s="36"/>
      <c r="F601" s="36"/>
      <c r="G601" s="38"/>
      <c r="H601" s="39"/>
      <c r="I601" s="36"/>
    </row>
    <row r="602" spans="1:9" ht="12.5">
      <c r="A602" s="35"/>
      <c r="B602" s="36"/>
      <c r="C602" s="36"/>
      <c r="D602" s="37"/>
      <c r="E602" s="36"/>
      <c r="F602" s="36"/>
      <c r="G602" s="38"/>
      <c r="H602" s="39"/>
      <c r="I602" s="36"/>
    </row>
    <row r="603" spans="1:9" ht="12.5">
      <c r="A603" s="35"/>
      <c r="B603" s="36"/>
      <c r="C603" s="36"/>
      <c r="D603" s="37"/>
      <c r="E603" s="36"/>
      <c r="F603" s="36"/>
      <c r="G603" s="38"/>
      <c r="H603" s="39"/>
      <c r="I603" s="36"/>
    </row>
    <row r="604" spans="1:9" ht="12.5">
      <c r="A604" s="35"/>
      <c r="B604" s="36"/>
      <c r="C604" s="36"/>
      <c r="D604" s="37"/>
      <c r="E604" s="36"/>
      <c r="F604" s="36"/>
      <c r="G604" s="38"/>
      <c r="H604" s="39"/>
      <c r="I604" s="36"/>
    </row>
    <row r="605" spans="1:9" ht="12.5">
      <c r="A605" s="35"/>
      <c r="B605" s="36"/>
      <c r="C605" s="36"/>
      <c r="D605" s="37"/>
      <c r="E605" s="36"/>
      <c r="F605" s="36"/>
      <c r="G605" s="38"/>
      <c r="H605" s="39"/>
      <c r="I605" s="36"/>
    </row>
    <row r="606" spans="1:9" ht="12.5">
      <c r="A606" s="35"/>
      <c r="B606" s="36"/>
      <c r="C606" s="36"/>
      <c r="D606" s="37"/>
      <c r="E606" s="36"/>
      <c r="F606" s="36"/>
      <c r="G606" s="38"/>
      <c r="H606" s="39"/>
      <c r="I606" s="36"/>
    </row>
    <row r="607" spans="1:9" ht="12.5">
      <c r="A607" s="35"/>
      <c r="B607" s="36"/>
      <c r="C607" s="36"/>
      <c r="D607" s="37"/>
      <c r="E607" s="36"/>
      <c r="F607" s="36"/>
      <c r="G607" s="38"/>
      <c r="H607" s="39"/>
      <c r="I607" s="36"/>
    </row>
    <row r="608" spans="1:9" ht="12.5">
      <c r="A608" s="35"/>
      <c r="B608" s="36"/>
      <c r="C608" s="36"/>
      <c r="D608" s="37"/>
      <c r="E608" s="36"/>
      <c r="F608" s="36"/>
      <c r="G608" s="38"/>
      <c r="H608" s="39"/>
      <c r="I608" s="36"/>
    </row>
    <row r="609" spans="1:9" ht="12.5">
      <c r="A609" s="35"/>
      <c r="B609" s="36"/>
      <c r="C609" s="36"/>
      <c r="D609" s="37"/>
      <c r="E609" s="36"/>
      <c r="F609" s="36"/>
      <c r="G609" s="38"/>
      <c r="H609" s="39"/>
      <c r="I609" s="36"/>
    </row>
    <row r="610" spans="1:9" ht="12.5">
      <c r="A610" s="35"/>
      <c r="B610" s="36"/>
      <c r="C610" s="36"/>
      <c r="D610" s="37"/>
      <c r="E610" s="36"/>
      <c r="F610" s="36"/>
      <c r="G610" s="38"/>
      <c r="H610" s="39"/>
      <c r="I610" s="36"/>
    </row>
    <row r="611" spans="1:9" ht="12.5">
      <c r="A611" s="35"/>
      <c r="B611" s="36"/>
      <c r="C611" s="36"/>
      <c r="D611" s="37"/>
      <c r="E611" s="36"/>
      <c r="F611" s="36"/>
      <c r="G611" s="38"/>
      <c r="H611" s="39"/>
      <c r="I611" s="36"/>
    </row>
    <row r="612" spans="1:9" ht="12.5">
      <c r="A612" s="35"/>
      <c r="B612" s="36"/>
      <c r="C612" s="36"/>
      <c r="D612" s="37"/>
      <c r="E612" s="36"/>
      <c r="F612" s="36"/>
      <c r="G612" s="38"/>
      <c r="H612" s="39"/>
      <c r="I612" s="36"/>
    </row>
    <row r="613" spans="1:9" ht="12.5">
      <c r="A613" s="35"/>
      <c r="B613" s="36"/>
      <c r="C613" s="36"/>
      <c r="D613" s="37"/>
      <c r="E613" s="36"/>
      <c r="F613" s="36"/>
      <c r="G613" s="38"/>
      <c r="H613" s="39"/>
      <c r="I613" s="36"/>
    </row>
    <row r="614" spans="1:9" ht="12.5">
      <c r="A614" s="35"/>
      <c r="B614" s="36"/>
      <c r="C614" s="36"/>
      <c r="D614" s="37"/>
      <c r="E614" s="36"/>
      <c r="F614" s="36"/>
      <c r="G614" s="38"/>
      <c r="H614" s="39"/>
      <c r="I614" s="36"/>
    </row>
    <row r="615" spans="1:9" ht="12.5">
      <c r="A615" s="35"/>
      <c r="B615" s="36"/>
      <c r="C615" s="36"/>
      <c r="D615" s="37"/>
      <c r="E615" s="36"/>
      <c r="F615" s="36"/>
      <c r="G615" s="38"/>
      <c r="H615" s="39"/>
      <c r="I615" s="36"/>
    </row>
    <row r="616" spans="1:9" ht="12.5">
      <c r="A616" s="35"/>
      <c r="B616" s="36"/>
      <c r="C616" s="36"/>
      <c r="D616" s="37"/>
      <c r="E616" s="36"/>
      <c r="F616" s="36"/>
      <c r="G616" s="38"/>
      <c r="H616" s="39"/>
      <c r="I616" s="36"/>
    </row>
    <row r="617" spans="1:9" ht="12.5">
      <c r="A617" s="35"/>
      <c r="B617" s="36"/>
      <c r="C617" s="36"/>
      <c r="D617" s="37"/>
      <c r="E617" s="36"/>
      <c r="F617" s="36"/>
      <c r="G617" s="38"/>
      <c r="H617" s="39"/>
      <c r="I617" s="36"/>
    </row>
    <row r="618" spans="1:9" ht="12.5">
      <c r="A618" s="35"/>
      <c r="B618" s="36"/>
      <c r="C618" s="36"/>
      <c r="D618" s="37"/>
      <c r="E618" s="36"/>
      <c r="F618" s="36"/>
      <c r="G618" s="38"/>
      <c r="H618" s="39"/>
      <c r="I618" s="36"/>
    </row>
    <row r="619" spans="1:9" ht="12.5">
      <c r="A619" s="35"/>
      <c r="B619" s="36"/>
      <c r="C619" s="36"/>
      <c r="D619" s="37"/>
      <c r="E619" s="36"/>
      <c r="F619" s="36"/>
      <c r="G619" s="38"/>
      <c r="H619" s="39"/>
      <c r="I619" s="36"/>
    </row>
    <row r="620" spans="1:9" ht="12.5">
      <c r="A620" s="35"/>
      <c r="B620" s="36"/>
      <c r="C620" s="36"/>
      <c r="D620" s="37"/>
      <c r="E620" s="36"/>
      <c r="F620" s="36"/>
      <c r="G620" s="38"/>
      <c r="H620" s="39"/>
      <c r="I620" s="36"/>
    </row>
    <row r="621" spans="1:9" ht="12.5">
      <c r="A621" s="35"/>
      <c r="B621" s="36"/>
      <c r="C621" s="36"/>
      <c r="D621" s="37"/>
      <c r="E621" s="36"/>
      <c r="F621" s="36"/>
      <c r="G621" s="38"/>
      <c r="H621" s="39"/>
      <c r="I621" s="36"/>
    </row>
    <row r="622" spans="1:9" ht="12.5">
      <c r="A622" s="35"/>
      <c r="B622" s="36"/>
      <c r="C622" s="36"/>
      <c r="D622" s="37"/>
      <c r="E622" s="36"/>
      <c r="F622" s="36"/>
      <c r="G622" s="38"/>
      <c r="H622" s="39"/>
      <c r="I622" s="36"/>
    </row>
    <row r="623" spans="1:9" ht="12.5">
      <c r="A623" s="35"/>
      <c r="B623" s="36"/>
      <c r="C623" s="36"/>
      <c r="D623" s="37"/>
      <c r="E623" s="36"/>
      <c r="F623" s="36"/>
      <c r="G623" s="38"/>
      <c r="H623" s="39"/>
      <c r="I623" s="36"/>
    </row>
    <row r="624" spans="1:9" ht="12.5">
      <c r="A624" s="35"/>
      <c r="B624" s="36"/>
      <c r="C624" s="36"/>
      <c r="D624" s="37"/>
      <c r="E624" s="36"/>
      <c r="F624" s="36"/>
      <c r="G624" s="38"/>
      <c r="H624" s="39"/>
      <c r="I624" s="36"/>
    </row>
    <row r="625" spans="1:9" ht="12.5">
      <c r="A625" s="35"/>
      <c r="B625" s="36"/>
      <c r="C625" s="36"/>
      <c r="D625" s="37"/>
      <c r="E625" s="36"/>
      <c r="F625" s="36"/>
      <c r="G625" s="38"/>
      <c r="H625" s="39"/>
      <c r="I625" s="36"/>
    </row>
    <row r="626" spans="1:9" ht="12.5">
      <c r="A626" s="35"/>
      <c r="B626" s="36"/>
      <c r="C626" s="36"/>
      <c r="D626" s="37"/>
      <c r="E626" s="36"/>
      <c r="F626" s="36"/>
      <c r="G626" s="38"/>
      <c r="H626" s="39"/>
      <c r="I626" s="36"/>
    </row>
    <row r="627" spans="1:9" ht="12.5">
      <c r="A627" s="35"/>
      <c r="B627" s="36"/>
      <c r="C627" s="36"/>
      <c r="D627" s="37"/>
      <c r="E627" s="36"/>
      <c r="F627" s="36"/>
      <c r="G627" s="38"/>
      <c r="H627" s="39"/>
      <c r="I627" s="36"/>
    </row>
    <row r="628" spans="1:9" ht="12.5">
      <c r="A628" s="35"/>
      <c r="B628" s="36"/>
      <c r="C628" s="36"/>
      <c r="D628" s="37"/>
      <c r="E628" s="36"/>
      <c r="F628" s="36"/>
      <c r="G628" s="38"/>
      <c r="H628" s="39"/>
      <c r="I628" s="36"/>
    </row>
    <row r="629" spans="1:9" ht="12.5">
      <c r="A629" s="35"/>
      <c r="B629" s="36"/>
      <c r="C629" s="36"/>
      <c r="D629" s="37"/>
      <c r="E629" s="36"/>
      <c r="F629" s="36"/>
      <c r="G629" s="38"/>
      <c r="H629" s="39"/>
      <c r="I629" s="36"/>
    </row>
    <row r="630" spans="1:9" ht="12.5">
      <c r="A630" s="35"/>
      <c r="B630" s="36"/>
      <c r="C630" s="36"/>
      <c r="D630" s="37"/>
      <c r="E630" s="36"/>
      <c r="F630" s="36"/>
      <c r="G630" s="38"/>
      <c r="H630" s="39"/>
      <c r="I630" s="36"/>
    </row>
    <row r="631" spans="1:9" ht="12.5">
      <c r="A631" s="35"/>
      <c r="B631" s="36"/>
      <c r="C631" s="36"/>
      <c r="D631" s="37"/>
      <c r="E631" s="36"/>
      <c r="F631" s="36"/>
      <c r="G631" s="38"/>
      <c r="H631" s="39"/>
      <c r="I631" s="36"/>
    </row>
    <row r="632" spans="1:9" ht="12.5">
      <c r="A632" s="35"/>
      <c r="B632" s="36"/>
      <c r="C632" s="36"/>
      <c r="D632" s="37"/>
      <c r="E632" s="36"/>
      <c r="F632" s="36"/>
      <c r="G632" s="38"/>
      <c r="H632" s="39"/>
      <c r="I632" s="36"/>
    </row>
    <row r="633" spans="1:9" ht="12.5">
      <c r="A633" s="35"/>
      <c r="B633" s="36"/>
      <c r="C633" s="36"/>
      <c r="D633" s="37"/>
      <c r="E633" s="36"/>
      <c r="F633" s="36"/>
      <c r="G633" s="38"/>
      <c r="H633" s="39"/>
      <c r="I633" s="36"/>
    </row>
    <row r="634" spans="1:9" ht="12.5">
      <c r="A634" s="35"/>
      <c r="B634" s="36"/>
      <c r="C634" s="36"/>
      <c r="D634" s="37"/>
      <c r="E634" s="36"/>
      <c r="F634" s="36"/>
      <c r="G634" s="38"/>
      <c r="H634" s="39"/>
      <c r="I634" s="36"/>
    </row>
    <row r="635" spans="1:9" ht="12.5">
      <c r="A635" s="35"/>
      <c r="B635" s="36"/>
      <c r="C635" s="36"/>
      <c r="D635" s="37"/>
      <c r="E635" s="36"/>
      <c r="F635" s="36"/>
      <c r="G635" s="38"/>
      <c r="H635" s="39"/>
      <c r="I635" s="36"/>
    </row>
    <row r="636" spans="1:9" ht="12.5">
      <c r="A636" s="35"/>
      <c r="B636" s="36"/>
      <c r="C636" s="36"/>
      <c r="D636" s="37"/>
      <c r="E636" s="36"/>
      <c r="F636" s="36"/>
      <c r="G636" s="38"/>
      <c r="H636" s="39"/>
      <c r="I636" s="36"/>
    </row>
    <row r="637" spans="1:9" ht="12.5">
      <c r="A637" s="35"/>
      <c r="B637" s="36"/>
      <c r="C637" s="36"/>
      <c r="D637" s="37"/>
      <c r="E637" s="36"/>
      <c r="F637" s="36"/>
      <c r="G637" s="38"/>
      <c r="H637" s="39"/>
      <c r="I637" s="36"/>
    </row>
    <row r="638" spans="1:9" ht="12.5">
      <c r="A638" s="35"/>
      <c r="B638" s="36"/>
      <c r="C638" s="36"/>
      <c r="D638" s="37"/>
      <c r="E638" s="36"/>
      <c r="F638" s="36"/>
      <c r="G638" s="38"/>
      <c r="H638" s="39"/>
      <c r="I638" s="36"/>
    </row>
    <row r="639" spans="1:9" ht="12.5">
      <c r="A639" s="35"/>
      <c r="B639" s="36"/>
      <c r="C639" s="36"/>
      <c r="D639" s="37"/>
      <c r="E639" s="36"/>
      <c r="F639" s="36"/>
      <c r="G639" s="38"/>
      <c r="H639" s="39"/>
      <c r="I639" s="36"/>
    </row>
    <row r="640" spans="1:9" ht="12.5">
      <c r="A640" s="35"/>
      <c r="B640" s="36"/>
      <c r="C640" s="36"/>
      <c r="D640" s="37"/>
      <c r="E640" s="36"/>
      <c r="F640" s="36"/>
      <c r="G640" s="38"/>
      <c r="H640" s="39"/>
      <c r="I640" s="36"/>
    </row>
    <row r="641" spans="1:9" ht="12.5">
      <c r="A641" s="35"/>
      <c r="B641" s="36"/>
      <c r="C641" s="36"/>
      <c r="D641" s="37"/>
      <c r="E641" s="36"/>
      <c r="F641" s="36"/>
      <c r="G641" s="38"/>
      <c r="H641" s="39"/>
      <c r="I641" s="36"/>
    </row>
    <row r="642" spans="1:9" ht="12.5">
      <c r="A642" s="35"/>
      <c r="B642" s="36"/>
      <c r="C642" s="36"/>
      <c r="D642" s="37"/>
      <c r="E642" s="36"/>
      <c r="F642" s="36"/>
      <c r="G642" s="38"/>
      <c r="H642" s="39"/>
      <c r="I642" s="36"/>
    </row>
    <row r="643" spans="1:9" ht="12.5">
      <c r="A643" s="35"/>
      <c r="B643" s="36"/>
      <c r="C643" s="36"/>
      <c r="D643" s="37"/>
      <c r="E643" s="36"/>
      <c r="F643" s="36"/>
      <c r="G643" s="38"/>
      <c r="H643" s="39"/>
      <c r="I643" s="36"/>
    </row>
    <row r="644" spans="1:9" ht="12.5">
      <c r="A644" s="35"/>
      <c r="B644" s="36"/>
      <c r="C644" s="36"/>
      <c r="D644" s="37"/>
      <c r="E644" s="36"/>
      <c r="F644" s="36"/>
      <c r="G644" s="38"/>
      <c r="H644" s="39"/>
      <c r="I644" s="36"/>
    </row>
    <row r="645" spans="1:9" ht="12.5">
      <c r="A645" s="35"/>
      <c r="B645" s="36"/>
      <c r="C645" s="36"/>
      <c r="D645" s="37"/>
      <c r="E645" s="36"/>
      <c r="F645" s="36"/>
      <c r="G645" s="38"/>
      <c r="H645" s="39"/>
      <c r="I645" s="36"/>
    </row>
    <row r="646" spans="1:9" ht="12.5">
      <c r="A646" s="35"/>
      <c r="B646" s="36"/>
      <c r="C646" s="36"/>
      <c r="D646" s="37"/>
      <c r="E646" s="36"/>
      <c r="F646" s="36"/>
      <c r="G646" s="38"/>
      <c r="H646" s="39"/>
      <c r="I646" s="36"/>
    </row>
    <row r="647" spans="1:9" ht="12.5">
      <c r="A647" s="35"/>
      <c r="B647" s="36"/>
      <c r="C647" s="36"/>
      <c r="D647" s="37"/>
      <c r="E647" s="36"/>
      <c r="F647" s="36"/>
      <c r="G647" s="38"/>
      <c r="H647" s="39"/>
      <c r="I647" s="36"/>
    </row>
    <row r="648" spans="1:9" ht="12.5">
      <c r="A648" s="35"/>
      <c r="B648" s="36"/>
      <c r="C648" s="36"/>
      <c r="D648" s="37"/>
      <c r="E648" s="36"/>
      <c r="F648" s="36"/>
      <c r="G648" s="38"/>
      <c r="H648" s="39"/>
      <c r="I648" s="36"/>
    </row>
    <row r="649" spans="1:9" ht="12.5">
      <c r="A649" s="35"/>
      <c r="B649" s="36"/>
      <c r="C649" s="36"/>
      <c r="D649" s="37"/>
      <c r="E649" s="36"/>
      <c r="F649" s="36"/>
      <c r="G649" s="38"/>
      <c r="H649" s="39"/>
      <c r="I649" s="36"/>
    </row>
    <row r="650" spans="1:9" ht="12.5">
      <c r="A650" s="35"/>
      <c r="B650" s="36"/>
      <c r="C650" s="36"/>
      <c r="D650" s="37"/>
      <c r="E650" s="36"/>
      <c r="F650" s="36"/>
      <c r="G650" s="38"/>
      <c r="H650" s="39"/>
      <c r="I650" s="36"/>
    </row>
    <row r="651" spans="1:9" ht="12.5">
      <c r="A651" s="35"/>
      <c r="B651" s="36"/>
      <c r="C651" s="36"/>
      <c r="D651" s="37"/>
      <c r="E651" s="36"/>
      <c r="F651" s="36"/>
      <c r="G651" s="38"/>
      <c r="H651" s="39"/>
      <c r="I651" s="36"/>
    </row>
    <row r="652" spans="1:9" ht="12.5">
      <c r="A652" s="35"/>
      <c r="B652" s="36"/>
      <c r="C652" s="36"/>
      <c r="D652" s="37"/>
      <c r="E652" s="36"/>
      <c r="F652" s="36"/>
      <c r="G652" s="38"/>
      <c r="H652" s="39"/>
      <c r="I652" s="36"/>
    </row>
    <row r="653" spans="1:9" ht="12.5">
      <c r="A653" s="35"/>
      <c r="B653" s="36"/>
      <c r="C653" s="36"/>
      <c r="D653" s="37"/>
      <c r="E653" s="36"/>
      <c r="F653" s="36"/>
      <c r="G653" s="38"/>
      <c r="H653" s="39"/>
      <c r="I653" s="36"/>
    </row>
    <row r="654" spans="1:9" ht="12.5">
      <c r="A654" s="35"/>
      <c r="B654" s="36"/>
      <c r="C654" s="36"/>
      <c r="D654" s="37"/>
      <c r="E654" s="36"/>
      <c r="F654" s="36"/>
      <c r="G654" s="38"/>
      <c r="H654" s="39"/>
      <c r="I654" s="36"/>
    </row>
    <row r="655" spans="1:9" ht="12.5">
      <c r="A655" s="35"/>
      <c r="B655" s="36"/>
      <c r="C655" s="36"/>
      <c r="D655" s="37"/>
      <c r="E655" s="36"/>
      <c r="F655" s="36"/>
      <c r="G655" s="38"/>
      <c r="H655" s="39"/>
      <c r="I655" s="36"/>
    </row>
    <row r="656" spans="1:9" ht="12.5">
      <c r="A656" s="35"/>
      <c r="B656" s="36"/>
      <c r="C656" s="36"/>
      <c r="D656" s="37"/>
      <c r="E656" s="36"/>
      <c r="F656" s="36"/>
      <c r="G656" s="38"/>
      <c r="H656" s="39"/>
      <c r="I656" s="36"/>
    </row>
    <row r="657" spans="1:9" ht="12.5">
      <c r="A657" s="35"/>
      <c r="B657" s="36"/>
      <c r="C657" s="36"/>
      <c r="D657" s="37"/>
      <c r="E657" s="36"/>
      <c r="F657" s="36"/>
      <c r="G657" s="38"/>
      <c r="H657" s="39"/>
      <c r="I657" s="36"/>
    </row>
    <row r="658" spans="1:9" ht="12.5">
      <c r="A658" s="35"/>
      <c r="B658" s="36"/>
      <c r="C658" s="36"/>
      <c r="D658" s="37"/>
      <c r="E658" s="36"/>
      <c r="F658" s="36"/>
      <c r="G658" s="38"/>
      <c r="H658" s="39"/>
      <c r="I658" s="36"/>
    </row>
    <row r="659" spans="1:9" ht="12.5">
      <c r="A659" s="35"/>
      <c r="B659" s="36"/>
      <c r="C659" s="36"/>
      <c r="D659" s="37"/>
      <c r="E659" s="36"/>
      <c r="F659" s="36"/>
      <c r="G659" s="38"/>
      <c r="H659" s="39"/>
      <c r="I659" s="36"/>
    </row>
    <row r="660" spans="1:9" ht="12.5">
      <c r="A660" s="35"/>
      <c r="B660" s="36"/>
      <c r="C660" s="36"/>
      <c r="D660" s="37"/>
      <c r="E660" s="36"/>
      <c r="F660" s="36"/>
      <c r="G660" s="38"/>
      <c r="H660" s="39"/>
      <c r="I660" s="36"/>
    </row>
    <row r="661" spans="1:9" ht="12.5">
      <c r="A661" s="35"/>
      <c r="B661" s="36"/>
      <c r="C661" s="36"/>
      <c r="D661" s="37"/>
      <c r="E661" s="36"/>
      <c r="F661" s="36"/>
      <c r="G661" s="38"/>
      <c r="H661" s="39"/>
      <c r="I661" s="36"/>
    </row>
    <row r="662" spans="1:9" ht="12.5">
      <c r="A662" s="35"/>
      <c r="B662" s="36"/>
      <c r="C662" s="36"/>
      <c r="D662" s="37"/>
      <c r="E662" s="36"/>
      <c r="F662" s="36"/>
      <c r="G662" s="38"/>
      <c r="H662" s="39"/>
      <c r="I662" s="36"/>
    </row>
    <row r="663" spans="1:9" ht="12.5">
      <c r="A663" s="35"/>
      <c r="B663" s="36"/>
      <c r="C663" s="36"/>
      <c r="D663" s="37"/>
      <c r="E663" s="36"/>
      <c r="F663" s="36"/>
      <c r="G663" s="38"/>
      <c r="H663" s="39"/>
      <c r="I663" s="36"/>
    </row>
    <row r="664" spans="1:9" ht="12.5">
      <c r="A664" s="35"/>
      <c r="B664" s="36"/>
      <c r="C664" s="36"/>
      <c r="D664" s="37"/>
      <c r="E664" s="36"/>
      <c r="F664" s="36"/>
      <c r="G664" s="38"/>
      <c r="H664" s="39"/>
      <c r="I664" s="36"/>
    </row>
    <row r="665" spans="1:9" ht="12.5">
      <c r="A665" s="35"/>
      <c r="B665" s="36"/>
      <c r="C665" s="36"/>
      <c r="D665" s="37"/>
      <c r="E665" s="36"/>
      <c r="F665" s="36"/>
      <c r="G665" s="38"/>
      <c r="H665" s="39"/>
      <c r="I665" s="36"/>
    </row>
    <row r="666" spans="1:9" ht="12.5">
      <c r="A666" s="35"/>
      <c r="B666" s="36"/>
      <c r="C666" s="36"/>
      <c r="D666" s="37"/>
      <c r="E666" s="36"/>
      <c r="F666" s="36"/>
      <c r="G666" s="38"/>
      <c r="H666" s="39"/>
      <c r="I666" s="36"/>
    </row>
    <row r="667" spans="1:9" ht="12.5">
      <c r="A667" s="35"/>
      <c r="B667" s="36"/>
      <c r="C667" s="36"/>
      <c r="D667" s="37"/>
      <c r="E667" s="36"/>
      <c r="F667" s="36"/>
      <c r="G667" s="38"/>
      <c r="H667" s="39"/>
      <c r="I667" s="36"/>
    </row>
    <row r="668" spans="1:9" ht="12.5">
      <c r="A668" s="35"/>
      <c r="B668" s="36"/>
      <c r="C668" s="36"/>
      <c r="D668" s="37"/>
      <c r="E668" s="36"/>
      <c r="F668" s="36"/>
      <c r="G668" s="38"/>
      <c r="H668" s="39"/>
      <c r="I668" s="36"/>
    </row>
    <row r="669" spans="1:9" ht="12.5">
      <c r="A669" s="35"/>
      <c r="B669" s="36"/>
      <c r="C669" s="36"/>
      <c r="D669" s="37"/>
      <c r="E669" s="36"/>
      <c r="F669" s="36"/>
      <c r="G669" s="38"/>
      <c r="H669" s="39"/>
      <c r="I669" s="36"/>
    </row>
    <row r="670" spans="1:9" ht="12.5">
      <c r="A670" s="35"/>
      <c r="B670" s="36"/>
      <c r="C670" s="36"/>
      <c r="D670" s="37"/>
      <c r="E670" s="36"/>
      <c r="F670" s="36"/>
      <c r="G670" s="38"/>
      <c r="H670" s="39"/>
      <c r="I670" s="36"/>
    </row>
    <row r="671" spans="1:9" ht="12.5">
      <c r="A671" s="35"/>
      <c r="B671" s="36"/>
      <c r="C671" s="36"/>
      <c r="D671" s="37"/>
      <c r="E671" s="36"/>
      <c r="F671" s="36"/>
      <c r="G671" s="38"/>
      <c r="H671" s="39"/>
      <c r="I671" s="36"/>
    </row>
    <row r="672" spans="1:9" ht="12.5">
      <c r="A672" s="35"/>
      <c r="B672" s="36"/>
      <c r="C672" s="36"/>
      <c r="D672" s="37"/>
      <c r="E672" s="36"/>
      <c r="F672" s="36"/>
      <c r="G672" s="38"/>
      <c r="H672" s="39"/>
      <c r="I672" s="36"/>
    </row>
    <row r="673" spans="1:9" ht="12.5">
      <c r="A673" s="35"/>
      <c r="B673" s="36"/>
      <c r="C673" s="36"/>
      <c r="D673" s="37"/>
      <c r="E673" s="36"/>
      <c r="F673" s="36"/>
      <c r="G673" s="38"/>
      <c r="H673" s="39"/>
      <c r="I673" s="36"/>
    </row>
    <row r="674" spans="1:9" ht="12.5">
      <c r="A674" s="35"/>
      <c r="B674" s="36"/>
      <c r="C674" s="36"/>
      <c r="D674" s="37"/>
      <c r="E674" s="36"/>
      <c r="F674" s="36"/>
      <c r="G674" s="38"/>
      <c r="H674" s="39"/>
      <c r="I674" s="36"/>
    </row>
    <row r="675" spans="1:9" ht="12.5">
      <c r="A675" s="35"/>
      <c r="B675" s="36"/>
      <c r="C675" s="36"/>
      <c r="D675" s="37"/>
      <c r="E675" s="36"/>
      <c r="F675" s="36"/>
      <c r="G675" s="38"/>
      <c r="H675" s="39"/>
      <c r="I675" s="36"/>
    </row>
    <row r="676" spans="1:9" ht="12.5">
      <c r="A676" s="35"/>
      <c r="B676" s="36"/>
      <c r="C676" s="36"/>
      <c r="D676" s="37"/>
      <c r="E676" s="36"/>
      <c r="F676" s="36"/>
      <c r="G676" s="38"/>
      <c r="H676" s="39"/>
      <c r="I676" s="36"/>
    </row>
    <row r="677" spans="1:9" ht="12.5">
      <c r="A677" s="35"/>
      <c r="B677" s="36"/>
      <c r="C677" s="36"/>
      <c r="D677" s="37"/>
      <c r="E677" s="36"/>
      <c r="F677" s="36"/>
      <c r="G677" s="38"/>
      <c r="H677" s="39"/>
      <c r="I677" s="36"/>
    </row>
    <row r="678" spans="1:9" ht="12.5">
      <c r="A678" s="35"/>
      <c r="B678" s="36"/>
      <c r="C678" s="36"/>
      <c r="D678" s="37"/>
      <c r="E678" s="36"/>
      <c r="F678" s="36"/>
      <c r="G678" s="38"/>
      <c r="H678" s="39"/>
      <c r="I678" s="36"/>
    </row>
    <row r="679" spans="1:9" ht="12.5">
      <c r="A679" s="35"/>
      <c r="B679" s="36"/>
      <c r="C679" s="36"/>
      <c r="D679" s="37"/>
      <c r="E679" s="36"/>
      <c r="F679" s="36"/>
      <c r="G679" s="38"/>
      <c r="H679" s="39"/>
      <c r="I679" s="36"/>
    </row>
    <row r="680" spans="1:9" ht="12.5">
      <c r="A680" s="35"/>
      <c r="B680" s="36"/>
      <c r="C680" s="36"/>
      <c r="D680" s="37"/>
      <c r="E680" s="36"/>
      <c r="F680" s="36"/>
      <c r="G680" s="38"/>
      <c r="H680" s="39"/>
      <c r="I680" s="36"/>
    </row>
    <row r="681" spans="1:9" ht="12.5">
      <c r="A681" s="35"/>
      <c r="B681" s="36"/>
      <c r="C681" s="36"/>
      <c r="D681" s="37"/>
      <c r="E681" s="36"/>
      <c r="F681" s="36"/>
      <c r="G681" s="38"/>
      <c r="H681" s="39"/>
      <c r="I681" s="36"/>
    </row>
    <row r="682" spans="1:9" ht="12.5">
      <c r="A682" s="35"/>
      <c r="B682" s="36"/>
      <c r="C682" s="36"/>
      <c r="D682" s="37"/>
      <c r="E682" s="36"/>
      <c r="F682" s="36"/>
      <c r="G682" s="38"/>
      <c r="H682" s="39"/>
      <c r="I682" s="36"/>
    </row>
    <row r="683" spans="1:9" ht="12.5">
      <c r="A683" s="35"/>
      <c r="B683" s="36"/>
      <c r="C683" s="36"/>
      <c r="D683" s="37"/>
      <c r="E683" s="36"/>
      <c r="F683" s="36"/>
      <c r="G683" s="38"/>
      <c r="H683" s="39"/>
      <c r="I683" s="36"/>
    </row>
    <row r="684" spans="1:9" ht="12.5">
      <c r="A684" s="35"/>
      <c r="B684" s="36"/>
      <c r="C684" s="36"/>
      <c r="D684" s="37"/>
      <c r="E684" s="36"/>
      <c r="F684" s="36"/>
      <c r="G684" s="38"/>
      <c r="H684" s="39"/>
      <c r="I684" s="36"/>
    </row>
    <row r="685" spans="1:9" ht="12.5">
      <c r="A685" s="35"/>
      <c r="B685" s="36"/>
      <c r="C685" s="36"/>
      <c r="D685" s="37"/>
      <c r="E685" s="36"/>
      <c r="F685" s="36"/>
      <c r="G685" s="38"/>
      <c r="H685" s="39"/>
      <c r="I685" s="36"/>
    </row>
    <row r="686" spans="1:9" ht="12.5">
      <c r="A686" s="35"/>
      <c r="B686" s="36"/>
      <c r="C686" s="36"/>
      <c r="D686" s="37"/>
      <c r="E686" s="36"/>
      <c r="F686" s="36"/>
      <c r="G686" s="38"/>
      <c r="H686" s="39"/>
      <c r="I686" s="36"/>
    </row>
    <row r="687" spans="1:9" ht="12.5">
      <c r="A687" s="35"/>
      <c r="B687" s="36"/>
      <c r="C687" s="36"/>
      <c r="D687" s="37"/>
      <c r="E687" s="36"/>
      <c r="F687" s="36"/>
      <c r="G687" s="38"/>
      <c r="H687" s="39"/>
      <c r="I687" s="36"/>
    </row>
    <row r="688" spans="1:9" ht="12.5">
      <c r="A688" s="35"/>
      <c r="B688" s="36"/>
      <c r="C688" s="36"/>
      <c r="D688" s="37"/>
      <c r="E688" s="36"/>
      <c r="F688" s="36"/>
      <c r="G688" s="38"/>
      <c r="H688" s="39"/>
      <c r="I688" s="36"/>
    </row>
    <row r="689" spans="1:9" ht="12.5">
      <c r="A689" s="35"/>
      <c r="B689" s="36"/>
      <c r="C689" s="36"/>
      <c r="D689" s="37"/>
      <c r="E689" s="36"/>
      <c r="F689" s="36"/>
      <c r="G689" s="38"/>
      <c r="H689" s="39"/>
      <c r="I689" s="36"/>
    </row>
    <row r="690" spans="1:9" ht="12.5">
      <c r="A690" s="35"/>
      <c r="B690" s="36"/>
      <c r="C690" s="36"/>
      <c r="D690" s="37"/>
      <c r="E690" s="36"/>
      <c r="F690" s="36"/>
      <c r="G690" s="38"/>
      <c r="H690" s="39"/>
      <c r="I690" s="36"/>
    </row>
    <row r="691" spans="1:9" ht="12.5">
      <c r="A691" s="35"/>
      <c r="B691" s="36"/>
      <c r="C691" s="36"/>
      <c r="D691" s="37"/>
      <c r="E691" s="36"/>
      <c r="F691" s="36"/>
      <c r="G691" s="38"/>
      <c r="H691" s="39"/>
      <c r="I691" s="36"/>
    </row>
    <row r="692" spans="1:9" ht="12.5">
      <c r="A692" s="35"/>
      <c r="B692" s="36"/>
      <c r="C692" s="36"/>
      <c r="D692" s="37"/>
      <c r="E692" s="36"/>
      <c r="F692" s="36"/>
      <c r="G692" s="38"/>
      <c r="H692" s="39"/>
      <c r="I692" s="36"/>
    </row>
    <row r="693" spans="1:9" ht="12.5">
      <c r="A693" s="35"/>
      <c r="B693" s="36"/>
      <c r="C693" s="36"/>
      <c r="D693" s="37"/>
      <c r="E693" s="36"/>
      <c r="F693" s="36"/>
      <c r="G693" s="38"/>
      <c r="H693" s="39"/>
      <c r="I693" s="36"/>
    </row>
    <row r="694" spans="1:9" ht="12.5">
      <c r="A694" s="35"/>
      <c r="B694" s="36"/>
      <c r="C694" s="36"/>
      <c r="D694" s="37"/>
      <c r="E694" s="36"/>
      <c r="F694" s="36"/>
      <c r="G694" s="38"/>
      <c r="H694" s="39"/>
      <c r="I694" s="36"/>
    </row>
    <row r="695" spans="1:9" ht="12.5">
      <c r="A695" s="35"/>
      <c r="B695" s="36"/>
      <c r="C695" s="36"/>
      <c r="D695" s="37"/>
      <c r="E695" s="36"/>
      <c r="F695" s="36"/>
      <c r="G695" s="38"/>
      <c r="H695" s="39"/>
      <c r="I695" s="36"/>
    </row>
    <row r="696" spans="1:9" ht="12.5">
      <c r="A696" s="35"/>
      <c r="B696" s="36"/>
      <c r="C696" s="36"/>
      <c r="D696" s="37"/>
      <c r="E696" s="36"/>
      <c r="F696" s="36"/>
      <c r="G696" s="38"/>
      <c r="H696" s="39"/>
      <c r="I696" s="36"/>
    </row>
    <row r="697" spans="1:9" ht="12.5">
      <c r="A697" s="35"/>
      <c r="B697" s="36"/>
      <c r="C697" s="36"/>
      <c r="D697" s="37"/>
      <c r="E697" s="36"/>
      <c r="F697" s="36"/>
      <c r="G697" s="38"/>
      <c r="H697" s="39"/>
      <c r="I697" s="36"/>
    </row>
    <row r="698" spans="1:9" ht="12.5">
      <c r="A698" s="35"/>
      <c r="B698" s="36"/>
      <c r="C698" s="36"/>
      <c r="D698" s="37"/>
      <c r="E698" s="36"/>
      <c r="F698" s="36"/>
      <c r="G698" s="38"/>
      <c r="H698" s="39"/>
      <c r="I698" s="36"/>
    </row>
    <row r="699" spans="1:9" ht="12.5">
      <c r="A699" s="35"/>
      <c r="B699" s="36"/>
      <c r="C699" s="36"/>
      <c r="D699" s="37"/>
      <c r="E699" s="36"/>
      <c r="F699" s="36"/>
      <c r="G699" s="38"/>
      <c r="H699" s="39"/>
      <c r="I699" s="36"/>
    </row>
    <row r="700" spans="1:9" ht="12.5">
      <c r="A700" s="35"/>
      <c r="B700" s="36"/>
      <c r="C700" s="36"/>
      <c r="D700" s="37"/>
      <c r="E700" s="36"/>
      <c r="F700" s="36"/>
      <c r="G700" s="38"/>
      <c r="H700" s="39"/>
      <c r="I700" s="36"/>
    </row>
    <row r="701" spans="1:9" ht="12.5">
      <c r="A701" s="35"/>
      <c r="B701" s="36"/>
      <c r="C701" s="36"/>
      <c r="D701" s="37"/>
      <c r="E701" s="36"/>
      <c r="F701" s="36"/>
      <c r="G701" s="38"/>
      <c r="H701" s="39"/>
      <c r="I701" s="36"/>
    </row>
    <row r="702" spans="1:9" ht="12.5">
      <c r="A702" s="35"/>
      <c r="B702" s="36"/>
      <c r="C702" s="36"/>
      <c r="D702" s="37"/>
      <c r="E702" s="36"/>
      <c r="F702" s="36"/>
      <c r="G702" s="38"/>
      <c r="H702" s="39"/>
      <c r="I702" s="36"/>
    </row>
    <row r="703" spans="1:9" ht="12.5">
      <c r="A703" s="35"/>
      <c r="B703" s="36"/>
      <c r="C703" s="36"/>
      <c r="D703" s="37"/>
      <c r="E703" s="36"/>
      <c r="F703" s="36"/>
      <c r="G703" s="38"/>
      <c r="H703" s="39"/>
      <c r="I703" s="36"/>
    </row>
    <row r="704" spans="1:9" ht="12.5">
      <c r="A704" s="35"/>
      <c r="B704" s="36"/>
      <c r="C704" s="36"/>
      <c r="D704" s="37"/>
      <c r="E704" s="36"/>
      <c r="F704" s="36"/>
      <c r="G704" s="38"/>
      <c r="H704" s="39"/>
      <c r="I704" s="36"/>
    </row>
    <row r="705" spans="1:9" ht="12.5">
      <c r="A705" s="35"/>
      <c r="B705" s="36"/>
      <c r="C705" s="36"/>
      <c r="D705" s="37"/>
      <c r="E705" s="36"/>
      <c r="F705" s="36"/>
      <c r="G705" s="38"/>
      <c r="H705" s="39"/>
      <c r="I705" s="36"/>
    </row>
    <row r="706" spans="1:9" ht="12.5">
      <c r="A706" s="35"/>
      <c r="B706" s="36"/>
      <c r="C706" s="36"/>
      <c r="D706" s="37"/>
      <c r="E706" s="36"/>
      <c r="F706" s="36"/>
      <c r="G706" s="38"/>
      <c r="H706" s="39"/>
      <c r="I706" s="36"/>
    </row>
    <row r="707" spans="1:9" ht="12.5">
      <c r="A707" s="35"/>
      <c r="B707" s="36"/>
      <c r="C707" s="36"/>
      <c r="D707" s="37"/>
      <c r="E707" s="36"/>
      <c r="F707" s="36"/>
      <c r="G707" s="38"/>
      <c r="H707" s="39"/>
      <c r="I707" s="36"/>
    </row>
    <row r="708" spans="1:9" ht="12.5">
      <c r="A708" s="35"/>
      <c r="B708" s="36"/>
      <c r="C708" s="36"/>
      <c r="D708" s="37"/>
      <c r="E708" s="36"/>
      <c r="F708" s="36"/>
      <c r="G708" s="38"/>
      <c r="H708" s="39"/>
      <c r="I708" s="36"/>
    </row>
    <row r="709" spans="1:9" ht="12.5">
      <c r="A709" s="35"/>
      <c r="B709" s="36"/>
      <c r="C709" s="36"/>
      <c r="D709" s="37"/>
      <c r="E709" s="36"/>
      <c r="F709" s="36"/>
      <c r="G709" s="38"/>
      <c r="H709" s="39"/>
      <c r="I709" s="36"/>
    </row>
    <row r="710" spans="1:9" ht="12.5">
      <c r="A710" s="35"/>
      <c r="B710" s="36"/>
      <c r="C710" s="36"/>
      <c r="D710" s="37"/>
      <c r="E710" s="36"/>
      <c r="F710" s="36"/>
      <c r="G710" s="38"/>
      <c r="H710" s="39"/>
      <c r="I710" s="36"/>
    </row>
    <row r="711" spans="1:9" ht="12.5">
      <c r="A711" s="35"/>
      <c r="B711" s="36"/>
      <c r="C711" s="36"/>
      <c r="D711" s="37"/>
      <c r="E711" s="36"/>
      <c r="F711" s="36"/>
      <c r="G711" s="38"/>
      <c r="H711" s="39"/>
      <c r="I711" s="36"/>
    </row>
    <row r="712" spans="1:9" ht="12.5">
      <c r="A712" s="35"/>
      <c r="B712" s="36"/>
      <c r="C712" s="36"/>
      <c r="D712" s="37"/>
      <c r="E712" s="36"/>
      <c r="F712" s="36"/>
      <c r="G712" s="38"/>
      <c r="H712" s="39"/>
      <c r="I712" s="36"/>
    </row>
    <row r="713" spans="1:9" ht="12.5">
      <c r="A713" s="35"/>
      <c r="B713" s="36"/>
      <c r="C713" s="36"/>
      <c r="D713" s="37"/>
      <c r="E713" s="36"/>
      <c r="F713" s="36"/>
      <c r="G713" s="38"/>
      <c r="H713" s="39"/>
      <c r="I713" s="36"/>
    </row>
    <row r="714" spans="1:9" ht="12.5">
      <c r="A714" s="35"/>
      <c r="B714" s="36"/>
      <c r="C714" s="36"/>
      <c r="D714" s="37"/>
      <c r="E714" s="36"/>
      <c r="F714" s="36"/>
      <c r="G714" s="38"/>
      <c r="H714" s="39"/>
      <c r="I714" s="36"/>
    </row>
    <row r="715" spans="1:9" ht="12.5">
      <c r="A715" s="35"/>
      <c r="B715" s="36"/>
      <c r="C715" s="36"/>
      <c r="D715" s="37"/>
      <c r="E715" s="36"/>
      <c r="F715" s="36"/>
      <c r="G715" s="38"/>
      <c r="H715" s="39"/>
      <c r="I715" s="36"/>
    </row>
    <row r="716" spans="1:9" ht="12.5">
      <c r="A716" s="35"/>
      <c r="B716" s="36"/>
      <c r="C716" s="36"/>
      <c r="D716" s="37"/>
      <c r="E716" s="36"/>
      <c r="F716" s="36"/>
      <c r="G716" s="38"/>
      <c r="H716" s="39"/>
      <c r="I716" s="36"/>
    </row>
    <row r="717" spans="1:9" ht="12.5">
      <c r="A717" s="35"/>
      <c r="B717" s="36"/>
      <c r="C717" s="36"/>
      <c r="D717" s="37"/>
      <c r="E717" s="36"/>
      <c r="F717" s="36"/>
      <c r="G717" s="38"/>
      <c r="H717" s="39"/>
      <c r="I717" s="36"/>
    </row>
    <row r="718" spans="1:9" ht="12.5">
      <c r="A718" s="35"/>
      <c r="B718" s="36"/>
      <c r="C718" s="36"/>
      <c r="D718" s="37"/>
      <c r="E718" s="36"/>
      <c r="F718" s="36"/>
      <c r="G718" s="38"/>
      <c r="H718" s="39"/>
      <c r="I718" s="36"/>
    </row>
    <row r="719" spans="1:9" ht="12.5">
      <c r="A719" s="35"/>
      <c r="B719" s="36"/>
      <c r="C719" s="36"/>
      <c r="D719" s="37"/>
      <c r="E719" s="36"/>
      <c r="F719" s="36"/>
      <c r="G719" s="38"/>
      <c r="H719" s="39"/>
      <c r="I719" s="36"/>
    </row>
    <row r="720" spans="1:9" ht="12.5">
      <c r="A720" s="35"/>
      <c r="B720" s="36"/>
      <c r="C720" s="36"/>
      <c r="D720" s="37"/>
      <c r="E720" s="36"/>
      <c r="F720" s="36"/>
      <c r="G720" s="38"/>
      <c r="H720" s="39"/>
      <c r="I720" s="36"/>
    </row>
    <row r="721" spans="1:9" ht="12.5">
      <c r="A721" s="35"/>
      <c r="B721" s="36"/>
      <c r="C721" s="36"/>
      <c r="D721" s="37"/>
      <c r="E721" s="36"/>
      <c r="F721" s="36"/>
      <c r="G721" s="38"/>
      <c r="H721" s="39"/>
      <c r="I721" s="36"/>
    </row>
    <row r="722" spans="1:9" ht="12.5">
      <c r="A722" s="35"/>
      <c r="B722" s="36"/>
      <c r="C722" s="36"/>
      <c r="D722" s="37"/>
      <c r="E722" s="36"/>
      <c r="F722" s="36"/>
      <c r="G722" s="38"/>
      <c r="H722" s="39"/>
      <c r="I722" s="36"/>
    </row>
    <row r="723" spans="1:9" ht="12.5">
      <c r="A723" s="35"/>
      <c r="B723" s="36"/>
      <c r="C723" s="36"/>
      <c r="D723" s="37"/>
      <c r="E723" s="36"/>
      <c r="F723" s="36"/>
      <c r="G723" s="38"/>
      <c r="H723" s="39"/>
      <c r="I723" s="36"/>
    </row>
    <row r="724" spans="1:9" ht="12.5">
      <c r="A724" s="35"/>
      <c r="B724" s="36"/>
      <c r="C724" s="36"/>
      <c r="D724" s="37"/>
      <c r="E724" s="36"/>
      <c r="F724" s="36"/>
      <c r="G724" s="38"/>
      <c r="H724" s="39"/>
      <c r="I724" s="36"/>
    </row>
    <row r="725" spans="1:9" ht="12.5">
      <c r="A725" s="35"/>
      <c r="B725" s="36"/>
      <c r="C725" s="36"/>
      <c r="D725" s="37"/>
      <c r="E725" s="36"/>
      <c r="F725" s="36"/>
      <c r="G725" s="38"/>
      <c r="H725" s="39"/>
      <c r="I725" s="36"/>
    </row>
    <row r="726" spans="1:9" ht="12.5">
      <c r="A726" s="35"/>
      <c r="B726" s="36"/>
      <c r="C726" s="36"/>
      <c r="D726" s="37"/>
      <c r="E726" s="36"/>
      <c r="F726" s="36"/>
      <c r="G726" s="38"/>
      <c r="H726" s="39"/>
      <c r="I726" s="36"/>
    </row>
    <row r="727" spans="1:9" ht="12.5">
      <c r="A727" s="35"/>
      <c r="B727" s="36"/>
      <c r="C727" s="36"/>
      <c r="D727" s="37"/>
      <c r="E727" s="36"/>
      <c r="F727" s="36"/>
      <c r="G727" s="38"/>
      <c r="H727" s="39"/>
      <c r="I727" s="36"/>
    </row>
    <row r="728" spans="1:9" ht="12.5">
      <c r="A728" s="35"/>
      <c r="B728" s="36"/>
      <c r="C728" s="36"/>
      <c r="D728" s="37"/>
      <c r="E728" s="36"/>
      <c r="F728" s="36"/>
      <c r="G728" s="38"/>
      <c r="H728" s="39"/>
      <c r="I728" s="36"/>
    </row>
    <row r="729" spans="1:9" ht="12.5">
      <c r="A729" s="35"/>
      <c r="B729" s="36"/>
      <c r="C729" s="36"/>
      <c r="D729" s="37"/>
      <c r="E729" s="36"/>
      <c r="F729" s="36"/>
      <c r="G729" s="38"/>
      <c r="H729" s="39"/>
      <c r="I729" s="36"/>
    </row>
    <row r="730" spans="1:9" ht="12.5">
      <c r="A730" s="35"/>
      <c r="B730" s="36"/>
      <c r="C730" s="36"/>
      <c r="D730" s="37"/>
      <c r="E730" s="36"/>
      <c r="F730" s="36"/>
      <c r="G730" s="38"/>
      <c r="H730" s="39"/>
      <c r="I730" s="36"/>
    </row>
    <row r="731" spans="1:9" ht="12.5">
      <c r="A731" s="35"/>
      <c r="B731" s="36"/>
      <c r="C731" s="36"/>
      <c r="D731" s="37"/>
      <c r="E731" s="36"/>
      <c r="F731" s="36"/>
      <c r="G731" s="38"/>
      <c r="H731" s="39"/>
      <c r="I731" s="36"/>
    </row>
    <row r="732" spans="1:9" ht="12.5">
      <c r="A732" s="35"/>
      <c r="B732" s="36"/>
      <c r="C732" s="36"/>
      <c r="D732" s="37"/>
      <c r="E732" s="36"/>
      <c r="F732" s="36"/>
      <c r="G732" s="38"/>
      <c r="H732" s="39"/>
      <c r="I732" s="36"/>
    </row>
    <row r="733" spans="1:9" ht="12.5">
      <c r="A733" s="35"/>
      <c r="B733" s="36"/>
      <c r="C733" s="36"/>
      <c r="D733" s="37"/>
      <c r="E733" s="36"/>
      <c r="F733" s="36"/>
      <c r="G733" s="38"/>
      <c r="H733" s="39"/>
      <c r="I733" s="36"/>
    </row>
    <row r="734" spans="1:9" ht="12.5">
      <c r="A734" s="35"/>
      <c r="B734" s="36"/>
      <c r="C734" s="36"/>
      <c r="D734" s="37"/>
      <c r="E734" s="36"/>
      <c r="F734" s="36"/>
      <c r="G734" s="38"/>
      <c r="H734" s="39"/>
      <c r="I734" s="36"/>
    </row>
    <row r="735" spans="1:9" ht="12.5">
      <c r="A735" s="35"/>
      <c r="B735" s="36"/>
      <c r="C735" s="36"/>
      <c r="D735" s="37"/>
      <c r="E735" s="36"/>
      <c r="F735" s="36"/>
      <c r="G735" s="38"/>
      <c r="H735" s="39"/>
      <c r="I735" s="36"/>
    </row>
    <row r="736" spans="1:9" ht="12.5">
      <c r="A736" s="35"/>
      <c r="B736" s="36"/>
      <c r="C736" s="36"/>
      <c r="D736" s="37"/>
      <c r="E736" s="36"/>
      <c r="F736" s="36"/>
      <c r="G736" s="38"/>
      <c r="H736" s="39"/>
      <c r="I736" s="36"/>
    </row>
    <row r="737" spans="1:9" ht="12.5">
      <c r="A737" s="35"/>
      <c r="B737" s="36"/>
      <c r="C737" s="36"/>
      <c r="D737" s="37"/>
      <c r="E737" s="36"/>
      <c r="F737" s="36"/>
      <c r="G737" s="38"/>
      <c r="H737" s="39"/>
      <c r="I737" s="36"/>
    </row>
    <row r="738" spans="1:9" ht="12.5">
      <c r="A738" s="35"/>
      <c r="B738" s="36"/>
      <c r="C738" s="36"/>
      <c r="D738" s="37"/>
      <c r="E738" s="36"/>
      <c r="F738" s="36"/>
      <c r="G738" s="38"/>
      <c r="H738" s="39"/>
      <c r="I738" s="36"/>
    </row>
    <row r="739" spans="1:9" ht="12.5">
      <c r="A739" s="35"/>
      <c r="B739" s="36"/>
      <c r="C739" s="36"/>
      <c r="D739" s="37"/>
      <c r="E739" s="36"/>
      <c r="F739" s="36"/>
      <c r="G739" s="38"/>
      <c r="H739" s="39"/>
      <c r="I739" s="36"/>
    </row>
    <row r="740" spans="1:9" ht="12.5">
      <c r="A740" s="35"/>
      <c r="B740" s="36"/>
      <c r="C740" s="36"/>
      <c r="D740" s="37"/>
      <c r="E740" s="36"/>
      <c r="F740" s="36"/>
      <c r="G740" s="38"/>
      <c r="H740" s="39"/>
      <c r="I740" s="36"/>
    </row>
    <row r="741" spans="1:9" ht="12.5">
      <c r="A741" s="35"/>
      <c r="B741" s="36"/>
      <c r="C741" s="36"/>
      <c r="D741" s="37"/>
      <c r="E741" s="36"/>
      <c r="F741" s="36"/>
      <c r="G741" s="38"/>
      <c r="H741" s="39"/>
      <c r="I741" s="36"/>
    </row>
    <row r="742" spans="1:9" ht="12.5">
      <c r="A742" s="35"/>
      <c r="B742" s="36"/>
      <c r="C742" s="36"/>
      <c r="D742" s="37"/>
      <c r="E742" s="36"/>
      <c r="F742" s="36"/>
      <c r="G742" s="38"/>
      <c r="H742" s="39"/>
      <c r="I742" s="36"/>
    </row>
    <row r="743" spans="1:9" ht="12.5">
      <c r="A743" s="35"/>
      <c r="B743" s="36"/>
      <c r="C743" s="36"/>
      <c r="D743" s="37"/>
      <c r="E743" s="36"/>
      <c r="F743" s="36"/>
      <c r="G743" s="38"/>
      <c r="H743" s="39"/>
      <c r="I743" s="36"/>
    </row>
    <row r="744" spans="1:9" ht="12.5">
      <c r="A744" s="35"/>
      <c r="B744" s="36"/>
      <c r="C744" s="36"/>
      <c r="D744" s="37"/>
      <c r="E744" s="36"/>
      <c r="F744" s="36"/>
      <c r="G744" s="38"/>
      <c r="H744" s="39"/>
      <c r="I744" s="36"/>
    </row>
    <row r="745" spans="1:9" ht="12.5">
      <c r="A745" s="35"/>
      <c r="B745" s="36"/>
      <c r="C745" s="36"/>
      <c r="D745" s="37"/>
      <c r="E745" s="36"/>
      <c r="F745" s="36"/>
      <c r="G745" s="38"/>
      <c r="H745" s="39"/>
      <c r="I745" s="36"/>
    </row>
    <row r="746" spans="1:9" ht="12.5">
      <c r="A746" s="35"/>
      <c r="B746" s="36"/>
      <c r="C746" s="36"/>
      <c r="D746" s="37"/>
      <c r="E746" s="36"/>
      <c r="F746" s="36"/>
      <c r="G746" s="38"/>
      <c r="H746" s="39"/>
      <c r="I746" s="36"/>
    </row>
    <row r="747" spans="1:9" ht="12.5">
      <c r="A747" s="35"/>
      <c r="B747" s="36"/>
      <c r="C747" s="36"/>
      <c r="D747" s="37"/>
      <c r="E747" s="36"/>
      <c r="F747" s="36"/>
      <c r="G747" s="38"/>
      <c r="H747" s="39"/>
      <c r="I747" s="36"/>
    </row>
    <row r="748" spans="1:9" ht="12.5">
      <c r="A748" s="35"/>
      <c r="B748" s="36"/>
      <c r="C748" s="36"/>
      <c r="D748" s="37"/>
      <c r="E748" s="36"/>
      <c r="F748" s="36"/>
      <c r="G748" s="38"/>
      <c r="H748" s="39"/>
      <c r="I748" s="36"/>
    </row>
    <row r="749" spans="1:9" ht="12.5">
      <c r="A749" s="35"/>
      <c r="B749" s="36"/>
      <c r="C749" s="36"/>
      <c r="D749" s="37"/>
      <c r="E749" s="36"/>
      <c r="F749" s="36"/>
      <c r="G749" s="38"/>
      <c r="H749" s="39"/>
      <c r="I749" s="36"/>
    </row>
    <row r="750" spans="1:9" ht="12.5">
      <c r="A750" s="35"/>
      <c r="B750" s="36"/>
      <c r="C750" s="36"/>
      <c r="D750" s="37"/>
      <c r="E750" s="36"/>
      <c r="F750" s="36"/>
      <c r="G750" s="38"/>
      <c r="H750" s="39"/>
      <c r="I750" s="36"/>
    </row>
    <row r="751" spans="1:9" ht="12.5">
      <c r="A751" s="35"/>
      <c r="B751" s="36"/>
      <c r="C751" s="36"/>
      <c r="D751" s="37"/>
      <c r="E751" s="36"/>
      <c r="F751" s="36"/>
      <c r="G751" s="38"/>
      <c r="H751" s="39"/>
      <c r="I751" s="36"/>
    </row>
    <row r="752" spans="1:9" ht="12.5">
      <c r="A752" s="35"/>
      <c r="B752" s="36"/>
      <c r="C752" s="36"/>
      <c r="D752" s="37"/>
      <c r="E752" s="36"/>
      <c r="F752" s="36"/>
      <c r="G752" s="38"/>
      <c r="H752" s="39"/>
      <c r="I752" s="36"/>
    </row>
    <row r="753" spans="1:9" ht="12.5">
      <c r="A753" s="35"/>
      <c r="B753" s="36"/>
      <c r="C753" s="36"/>
      <c r="D753" s="37"/>
      <c r="E753" s="36"/>
      <c r="F753" s="36"/>
      <c r="G753" s="38"/>
      <c r="H753" s="39"/>
      <c r="I753" s="36"/>
    </row>
    <row r="754" spans="1:9" ht="12.5">
      <c r="A754" s="35"/>
      <c r="B754" s="36"/>
      <c r="C754" s="36"/>
      <c r="D754" s="37"/>
      <c r="E754" s="36"/>
      <c r="F754" s="36"/>
      <c r="G754" s="38"/>
      <c r="H754" s="39"/>
      <c r="I754" s="36"/>
    </row>
    <row r="755" spans="1:9" ht="12.5">
      <c r="A755" s="35"/>
      <c r="B755" s="36"/>
      <c r="C755" s="36"/>
      <c r="D755" s="37"/>
      <c r="E755" s="36"/>
      <c r="F755" s="36"/>
      <c r="G755" s="38"/>
      <c r="H755" s="39"/>
      <c r="I755" s="36"/>
    </row>
    <row r="756" spans="1:9" ht="12.5">
      <c r="A756" s="35"/>
      <c r="B756" s="36"/>
      <c r="C756" s="36"/>
      <c r="D756" s="37"/>
      <c r="E756" s="36"/>
      <c r="F756" s="36"/>
      <c r="G756" s="38"/>
      <c r="H756" s="39"/>
      <c r="I756" s="36"/>
    </row>
    <row r="757" spans="1:9" ht="12.5">
      <c r="A757" s="35"/>
      <c r="B757" s="36"/>
      <c r="C757" s="36"/>
      <c r="D757" s="37"/>
      <c r="E757" s="36"/>
      <c r="F757" s="36"/>
      <c r="G757" s="38"/>
      <c r="H757" s="39"/>
      <c r="I757" s="36"/>
    </row>
    <row r="758" spans="1:9" ht="12.5">
      <c r="A758" s="35"/>
      <c r="B758" s="36"/>
      <c r="C758" s="36"/>
      <c r="D758" s="37"/>
      <c r="E758" s="36"/>
      <c r="F758" s="36"/>
      <c r="G758" s="38"/>
      <c r="H758" s="39"/>
      <c r="I758" s="36"/>
    </row>
    <row r="759" spans="1:9" ht="12.5">
      <c r="A759" s="35"/>
      <c r="B759" s="36"/>
      <c r="C759" s="36"/>
      <c r="D759" s="37"/>
      <c r="E759" s="36"/>
      <c r="F759" s="36"/>
      <c r="G759" s="38"/>
      <c r="H759" s="39"/>
      <c r="I759" s="36"/>
    </row>
    <row r="760" spans="1:9" ht="12.5">
      <c r="A760" s="35"/>
      <c r="B760" s="36"/>
      <c r="C760" s="36"/>
      <c r="D760" s="37"/>
      <c r="E760" s="36"/>
      <c r="F760" s="36"/>
      <c r="G760" s="38"/>
      <c r="H760" s="39"/>
      <c r="I760" s="36"/>
    </row>
    <row r="761" spans="1:9" ht="12.5">
      <c r="A761" s="35"/>
      <c r="B761" s="36"/>
      <c r="C761" s="36"/>
      <c r="D761" s="37"/>
      <c r="E761" s="36"/>
      <c r="F761" s="36"/>
      <c r="G761" s="38"/>
      <c r="H761" s="39"/>
      <c r="I761" s="36"/>
    </row>
    <row r="762" spans="1:9" ht="12.5">
      <c r="A762" s="35"/>
      <c r="B762" s="36"/>
      <c r="C762" s="36"/>
      <c r="D762" s="37"/>
      <c r="E762" s="36"/>
      <c r="F762" s="36"/>
      <c r="G762" s="38"/>
      <c r="H762" s="39"/>
      <c r="I762" s="36"/>
    </row>
    <row r="763" spans="1:9" ht="12.5">
      <c r="A763" s="35"/>
      <c r="B763" s="36"/>
      <c r="C763" s="36"/>
      <c r="D763" s="37"/>
      <c r="E763" s="36"/>
      <c r="F763" s="36"/>
      <c r="G763" s="38"/>
      <c r="H763" s="39"/>
      <c r="I763" s="36"/>
    </row>
    <row r="764" spans="1:9" ht="12.5">
      <c r="A764" s="35"/>
      <c r="B764" s="36"/>
      <c r="C764" s="36"/>
      <c r="D764" s="37"/>
      <c r="E764" s="36"/>
      <c r="F764" s="36"/>
      <c r="G764" s="38"/>
      <c r="H764" s="39"/>
      <c r="I764" s="36"/>
    </row>
    <row r="765" spans="1:9" ht="12.5">
      <c r="A765" s="35"/>
      <c r="B765" s="36"/>
      <c r="C765" s="36"/>
      <c r="D765" s="37"/>
      <c r="E765" s="36"/>
      <c r="F765" s="36"/>
      <c r="G765" s="38"/>
      <c r="H765" s="39"/>
      <c r="I765" s="36"/>
    </row>
    <row r="766" spans="1:9" ht="12.5">
      <c r="A766" s="35"/>
      <c r="B766" s="36"/>
      <c r="C766" s="36"/>
      <c r="D766" s="37"/>
      <c r="E766" s="36"/>
      <c r="F766" s="36"/>
      <c r="G766" s="38"/>
      <c r="H766" s="39"/>
      <c r="I766" s="36"/>
    </row>
    <row r="767" spans="1:9" ht="12.5">
      <c r="A767" s="35"/>
      <c r="B767" s="36"/>
      <c r="C767" s="36"/>
      <c r="D767" s="37"/>
      <c r="E767" s="36"/>
      <c r="F767" s="36"/>
      <c r="G767" s="38"/>
      <c r="H767" s="39"/>
      <c r="I767" s="36"/>
    </row>
    <row r="768" spans="1:9" ht="12.5">
      <c r="A768" s="35"/>
      <c r="B768" s="36"/>
      <c r="C768" s="36"/>
      <c r="D768" s="37"/>
      <c r="E768" s="36"/>
      <c r="F768" s="36"/>
      <c r="G768" s="38"/>
      <c r="H768" s="39"/>
      <c r="I768" s="36"/>
    </row>
    <row r="769" spans="1:9" ht="12.5">
      <c r="A769" s="35"/>
      <c r="B769" s="36"/>
      <c r="C769" s="36"/>
      <c r="D769" s="37"/>
      <c r="E769" s="36"/>
      <c r="F769" s="36"/>
      <c r="G769" s="38"/>
      <c r="H769" s="39"/>
      <c r="I769" s="36"/>
    </row>
    <row r="770" spans="1:9" ht="12.5">
      <c r="A770" s="35"/>
      <c r="B770" s="36"/>
      <c r="C770" s="36"/>
      <c r="D770" s="37"/>
      <c r="E770" s="36"/>
      <c r="F770" s="36"/>
      <c r="G770" s="38"/>
      <c r="H770" s="39"/>
      <c r="I770" s="36"/>
    </row>
    <row r="771" spans="1:9" ht="12.5">
      <c r="A771" s="35"/>
      <c r="B771" s="36"/>
      <c r="C771" s="36"/>
      <c r="D771" s="37"/>
      <c r="E771" s="36"/>
      <c r="F771" s="36"/>
      <c r="G771" s="38"/>
      <c r="H771" s="39"/>
      <c r="I771" s="36"/>
    </row>
    <row r="772" spans="1:9" ht="12.5">
      <c r="A772" s="35"/>
      <c r="B772" s="36"/>
      <c r="C772" s="36"/>
      <c r="D772" s="37"/>
      <c r="E772" s="36"/>
      <c r="F772" s="36"/>
      <c r="G772" s="38"/>
      <c r="H772" s="39"/>
      <c r="I772" s="36"/>
    </row>
    <row r="773" spans="1:9" ht="12.5">
      <c r="A773" s="35"/>
      <c r="B773" s="36"/>
      <c r="C773" s="36"/>
      <c r="D773" s="37"/>
      <c r="E773" s="36"/>
      <c r="F773" s="36"/>
      <c r="G773" s="38"/>
      <c r="H773" s="39"/>
      <c r="I773" s="36"/>
    </row>
    <row r="774" spans="1:9" ht="12.5">
      <c r="A774" s="35"/>
      <c r="B774" s="36"/>
      <c r="C774" s="36"/>
      <c r="D774" s="37"/>
      <c r="E774" s="36"/>
      <c r="F774" s="36"/>
      <c r="G774" s="38"/>
      <c r="H774" s="39"/>
      <c r="I774" s="36"/>
    </row>
    <row r="775" spans="1:9" ht="12.5">
      <c r="A775" s="35"/>
      <c r="B775" s="36"/>
      <c r="C775" s="36"/>
      <c r="D775" s="37"/>
      <c r="E775" s="36"/>
      <c r="F775" s="36"/>
      <c r="G775" s="38"/>
      <c r="H775" s="39"/>
      <c r="I775" s="36"/>
    </row>
    <row r="776" spans="1:9" ht="12.5">
      <c r="A776" s="35"/>
      <c r="B776" s="36"/>
      <c r="C776" s="36"/>
      <c r="D776" s="37"/>
      <c r="E776" s="36"/>
      <c r="F776" s="36"/>
      <c r="G776" s="38"/>
      <c r="H776" s="39"/>
      <c r="I776" s="36"/>
    </row>
    <row r="777" spans="1:9" ht="12.5">
      <c r="A777" s="35"/>
      <c r="B777" s="36"/>
      <c r="C777" s="36"/>
      <c r="D777" s="37"/>
      <c r="E777" s="36"/>
      <c r="F777" s="36"/>
      <c r="G777" s="38"/>
      <c r="H777" s="39"/>
      <c r="I777" s="36"/>
    </row>
    <row r="778" spans="1:9" ht="12.5">
      <c r="A778" s="35"/>
      <c r="B778" s="36"/>
      <c r="C778" s="36"/>
      <c r="D778" s="37"/>
      <c r="E778" s="36"/>
      <c r="F778" s="36"/>
      <c r="G778" s="38"/>
      <c r="H778" s="39"/>
      <c r="I778" s="36"/>
    </row>
    <row r="779" spans="1:9" ht="12.5">
      <c r="A779" s="35"/>
      <c r="B779" s="36"/>
      <c r="C779" s="36"/>
      <c r="D779" s="37"/>
      <c r="E779" s="36"/>
      <c r="F779" s="36"/>
      <c r="G779" s="38"/>
      <c r="H779" s="39"/>
      <c r="I779" s="36"/>
    </row>
    <row r="780" spans="1:9" ht="12.5">
      <c r="A780" s="35"/>
      <c r="B780" s="36"/>
      <c r="C780" s="36"/>
      <c r="D780" s="37"/>
      <c r="E780" s="36"/>
      <c r="F780" s="36"/>
      <c r="G780" s="38"/>
      <c r="H780" s="39"/>
      <c r="I780" s="36"/>
    </row>
    <row r="781" spans="1:9" ht="12.5">
      <c r="A781" s="35"/>
      <c r="B781" s="36"/>
      <c r="C781" s="36"/>
      <c r="D781" s="37"/>
      <c r="E781" s="36"/>
      <c r="F781" s="36"/>
      <c r="G781" s="38"/>
      <c r="H781" s="39"/>
      <c r="I781" s="36"/>
    </row>
    <row r="782" spans="1:9" ht="12.5">
      <c r="A782" s="35"/>
      <c r="B782" s="36"/>
      <c r="C782" s="36"/>
      <c r="D782" s="37"/>
      <c r="E782" s="36"/>
      <c r="F782" s="36"/>
      <c r="G782" s="38"/>
      <c r="H782" s="39"/>
      <c r="I782" s="36"/>
    </row>
    <row r="783" spans="1:9" ht="12.5">
      <c r="A783" s="35"/>
      <c r="B783" s="36"/>
      <c r="C783" s="36"/>
      <c r="D783" s="37"/>
      <c r="E783" s="36"/>
      <c r="F783" s="36"/>
      <c r="G783" s="38"/>
      <c r="H783" s="39"/>
      <c r="I783" s="36"/>
    </row>
    <row r="784" spans="1:9" ht="12.5">
      <c r="A784" s="35"/>
      <c r="B784" s="36"/>
      <c r="C784" s="36"/>
      <c r="D784" s="37"/>
      <c r="E784" s="36"/>
      <c r="F784" s="36"/>
      <c r="G784" s="38"/>
      <c r="H784" s="39"/>
      <c r="I784" s="36"/>
    </row>
    <row r="785" spans="1:9" ht="12.5">
      <c r="A785" s="35"/>
      <c r="B785" s="36"/>
      <c r="C785" s="36"/>
      <c r="D785" s="37"/>
      <c r="E785" s="36"/>
      <c r="F785" s="36"/>
      <c r="G785" s="38"/>
      <c r="H785" s="39"/>
      <c r="I785" s="36"/>
    </row>
    <row r="786" spans="1:9" ht="12.5">
      <c r="A786" s="35"/>
      <c r="B786" s="36"/>
      <c r="C786" s="36"/>
      <c r="D786" s="37"/>
      <c r="E786" s="36"/>
      <c r="F786" s="36"/>
      <c r="G786" s="38"/>
      <c r="H786" s="39"/>
      <c r="I786" s="36"/>
    </row>
    <row r="787" spans="1:9" ht="12.5">
      <c r="A787" s="35"/>
      <c r="B787" s="36"/>
      <c r="C787" s="36"/>
      <c r="D787" s="37"/>
      <c r="E787" s="36"/>
      <c r="F787" s="36"/>
      <c r="G787" s="38"/>
      <c r="H787" s="39"/>
      <c r="I787" s="36"/>
    </row>
    <row r="788" spans="1:9" ht="12.5">
      <c r="A788" s="35"/>
      <c r="B788" s="36"/>
      <c r="C788" s="36"/>
      <c r="D788" s="37"/>
      <c r="E788" s="36"/>
      <c r="F788" s="36"/>
      <c r="G788" s="38"/>
      <c r="H788" s="39"/>
      <c r="I788" s="36"/>
    </row>
    <row r="789" spans="1:9" ht="12.5">
      <c r="A789" s="35"/>
      <c r="B789" s="36"/>
      <c r="C789" s="36"/>
      <c r="D789" s="37"/>
      <c r="E789" s="36"/>
      <c r="F789" s="36"/>
      <c r="G789" s="38"/>
      <c r="H789" s="39"/>
      <c r="I789" s="36"/>
    </row>
    <row r="790" spans="1:9" ht="12.5">
      <c r="A790" s="35"/>
      <c r="B790" s="36"/>
      <c r="C790" s="36"/>
      <c r="D790" s="37"/>
      <c r="E790" s="36"/>
      <c r="F790" s="36"/>
      <c r="G790" s="38"/>
      <c r="H790" s="39"/>
      <c r="I790" s="36"/>
    </row>
    <row r="791" spans="1:9" ht="12.5">
      <c r="A791" s="35"/>
      <c r="B791" s="36"/>
      <c r="C791" s="36"/>
      <c r="D791" s="37"/>
      <c r="E791" s="36"/>
      <c r="F791" s="36"/>
      <c r="G791" s="38"/>
      <c r="H791" s="39"/>
      <c r="I791" s="36"/>
    </row>
    <row r="792" spans="1:9" ht="12.5">
      <c r="A792" s="35"/>
      <c r="B792" s="36"/>
      <c r="C792" s="36"/>
      <c r="D792" s="37"/>
      <c r="E792" s="36"/>
      <c r="F792" s="36"/>
      <c r="G792" s="38"/>
      <c r="H792" s="39"/>
      <c r="I792" s="36"/>
    </row>
    <row r="793" spans="1:9" ht="12.5">
      <c r="A793" s="35"/>
      <c r="B793" s="36"/>
      <c r="C793" s="36"/>
      <c r="D793" s="37"/>
      <c r="E793" s="36"/>
      <c r="F793" s="36"/>
      <c r="G793" s="38"/>
      <c r="H793" s="39"/>
      <c r="I793" s="36"/>
    </row>
    <row r="794" spans="1:9" ht="12.5">
      <c r="A794" s="35"/>
      <c r="B794" s="36"/>
      <c r="C794" s="36"/>
      <c r="D794" s="37"/>
      <c r="E794" s="36"/>
      <c r="F794" s="36"/>
      <c r="G794" s="38"/>
      <c r="H794" s="39"/>
      <c r="I794" s="36"/>
    </row>
    <row r="795" spans="1:9" ht="12.5">
      <c r="A795" s="35"/>
      <c r="B795" s="36"/>
      <c r="C795" s="36"/>
      <c r="D795" s="37"/>
      <c r="E795" s="36"/>
      <c r="F795" s="36"/>
      <c r="G795" s="38"/>
      <c r="H795" s="39"/>
      <c r="I795" s="36"/>
    </row>
    <row r="796" spans="1:9" ht="12.5">
      <c r="A796" s="35"/>
      <c r="B796" s="36"/>
      <c r="C796" s="36"/>
      <c r="D796" s="37"/>
      <c r="E796" s="36"/>
      <c r="F796" s="36"/>
      <c r="G796" s="38"/>
      <c r="H796" s="39"/>
      <c r="I796" s="36"/>
    </row>
    <row r="797" spans="1:9" ht="12.5">
      <c r="A797" s="35"/>
      <c r="B797" s="36"/>
      <c r="C797" s="36"/>
      <c r="D797" s="37"/>
      <c r="E797" s="36"/>
      <c r="F797" s="36"/>
      <c r="G797" s="38"/>
      <c r="H797" s="39"/>
      <c r="I797" s="36"/>
    </row>
    <row r="798" spans="1:9" ht="12.5">
      <c r="A798" s="35"/>
      <c r="B798" s="36"/>
      <c r="C798" s="36"/>
      <c r="D798" s="37"/>
      <c r="E798" s="36"/>
      <c r="F798" s="36"/>
      <c r="G798" s="38"/>
      <c r="H798" s="39"/>
      <c r="I798" s="36"/>
    </row>
    <row r="799" spans="1:9" ht="12.5">
      <c r="A799" s="35"/>
      <c r="B799" s="36"/>
      <c r="C799" s="36"/>
      <c r="D799" s="37"/>
      <c r="E799" s="36"/>
      <c r="F799" s="36"/>
      <c r="G799" s="38"/>
      <c r="H799" s="39"/>
      <c r="I799" s="36"/>
    </row>
    <row r="800" spans="1:9" ht="12.5">
      <c r="A800" s="35"/>
      <c r="B800" s="36"/>
      <c r="C800" s="36"/>
      <c r="D800" s="37"/>
      <c r="E800" s="36"/>
      <c r="F800" s="36"/>
      <c r="G800" s="38"/>
      <c r="H800" s="39"/>
      <c r="I800" s="36"/>
    </row>
    <row r="801" spans="1:9" ht="12.5">
      <c r="A801" s="35"/>
      <c r="B801" s="36"/>
      <c r="C801" s="36"/>
      <c r="D801" s="37"/>
      <c r="E801" s="36"/>
      <c r="F801" s="36"/>
      <c r="G801" s="38"/>
      <c r="H801" s="39"/>
      <c r="I801" s="36"/>
    </row>
    <row r="802" spans="1:9" ht="12.5">
      <c r="A802" s="35"/>
      <c r="B802" s="36"/>
      <c r="C802" s="36"/>
      <c r="D802" s="37"/>
      <c r="E802" s="36"/>
      <c r="F802" s="36"/>
      <c r="G802" s="38"/>
      <c r="H802" s="39"/>
      <c r="I802" s="36"/>
    </row>
    <row r="803" spans="1:9" ht="12.5">
      <c r="A803" s="35"/>
      <c r="B803" s="36"/>
      <c r="C803" s="36"/>
      <c r="D803" s="37"/>
      <c r="E803" s="36"/>
      <c r="F803" s="36"/>
      <c r="G803" s="38"/>
      <c r="H803" s="39"/>
      <c r="I803" s="36"/>
    </row>
    <row r="804" spans="1:9" ht="12.5">
      <c r="A804" s="35"/>
      <c r="B804" s="36"/>
      <c r="C804" s="36"/>
      <c r="D804" s="37"/>
      <c r="E804" s="36"/>
      <c r="F804" s="36"/>
      <c r="G804" s="38"/>
      <c r="H804" s="39"/>
      <c r="I804" s="36"/>
    </row>
    <row r="805" spans="1:9" ht="12.5">
      <c r="A805" s="35"/>
      <c r="B805" s="36"/>
      <c r="C805" s="36"/>
      <c r="D805" s="37"/>
      <c r="E805" s="36"/>
      <c r="F805" s="36"/>
      <c r="G805" s="38"/>
      <c r="H805" s="39"/>
      <c r="I805" s="36"/>
    </row>
    <row r="806" spans="1:9" ht="12.5">
      <c r="A806" s="35"/>
      <c r="B806" s="36"/>
      <c r="C806" s="36"/>
      <c r="D806" s="37"/>
      <c r="E806" s="36"/>
      <c r="F806" s="36"/>
      <c r="G806" s="38"/>
      <c r="H806" s="39"/>
      <c r="I806" s="36"/>
    </row>
    <row r="807" spans="1:9" ht="12.5">
      <c r="A807" s="35"/>
      <c r="B807" s="36"/>
      <c r="C807" s="36"/>
      <c r="D807" s="37"/>
      <c r="E807" s="36"/>
      <c r="F807" s="36"/>
      <c r="G807" s="38"/>
      <c r="H807" s="39"/>
      <c r="I807" s="36"/>
    </row>
    <row r="808" spans="1:9" ht="12.5">
      <c r="A808" s="35"/>
      <c r="B808" s="36"/>
      <c r="C808" s="36"/>
      <c r="D808" s="37"/>
      <c r="E808" s="36"/>
      <c r="F808" s="36"/>
      <c r="G808" s="38"/>
      <c r="H808" s="39"/>
      <c r="I808" s="36"/>
    </row>
    <row r="809" spans="1:9" ht="12.5">
      <c r="A809" s="35"/>
      <c r="B809" s="36"/>
      <c r="C809" s="36"/>
      <c r="D809" s="37"/>
      <c r="E809" s="36"/>
      <c r="F809" s="36"/>
      <c r="G809" s="38"/>
      <c r="H809" s="39"/>
      <c r="I809" s="36"/>
    </row>
    <row r="810" spans="1:9" ht="12.5">
      <c r="A810" s="35"/>
      <c r="B810" s="36"/>
      <c r="C810" s="36"/>
      <c r="D810" s="37"/>
      <c r="E810" s="36"/>
      <c r="F810" s="36"/>
      <c r="G810" s="38"/>
      <c r="H810" s="39"/>
      <c r="I810" s="36"/>
    </row>
    <row r="811" spans="1:9" ht="12.5">
      <c r="A811" s="35"/>
      <c r="B811" s="36"/>
      <c r="C811" s="36"/>
      <c r="D811" s="37"/>
      <c r="E811" s="36"/>
      <c r="F811" s="36"/>
      <c r="G811" s="38"/>
      <c r="H811" s="39"/>
      <c r="I811" s="36"/>
    </row>
    <row r="812" spans="1:9" ht="12.5">
      <c r="A812" s="35"/>
      <c r="B812" s="36"/>
      <c r="C812" s="36"/>
      <c r="D812" s="37"/>
      <c r="E812" s="36"/>
      <c r="F812" s="36"/>
      <c r="G812" s="38"/>
      <c r="H812" s="39"/>
      <c r="I812" s="36"/>
    </row>
    <row r="813" spans="1:9" ht="12.5">
      <c r="A813" s="35"/>
      <c r="B813" s="36"/>
      <c r="C813" s="36"/>
      <c r="D813" s="37"/>
      <c r="E813" s="36"/>
      <c r="F813" s="36"/>
      <c r="G813" s="38"/>
      <c r="H813" s="39"/>
      <c r="I813" s="36"/>
    </row>
    <row r="814" spans="1:9" ht="12.5">
      <c r="A814" s="35"/>
      <c r="B814" s="36"/>
      <c r="C814" s="36"/>
      <c r="D814" s="37"/>
      <c r="E814" s="36"/>
      <c r="F814" s="36"/>
      <c r="G814" s="38"/>
      <c r="H814" s="39"/>
      <c r="I814" s="36"/>
    </row>
    <row r="815" spans="1:9" ht="12.5">
      <c r="A815" s="35"/>
      <c r="B815" s="36"/>
      <c r="C815" s="36"/>
      <c r="D815" s="37"/>
      <c r="E815" s="36"/>
      <c r="F815" s="36"/>
      <c r="G815" s="38"/>
      <c r="H815" s="39"/>
      <c r="I815" s="36"/>
    </row>
    <row r="816" spans="1:9" ht="12.5">
      <c r="A816" s="35"/>
      <c r="B816" s="36"/>
      <c r="C816" s="36"/>
      <c r="D816" s="37"/>
      <c r="E816" s="36"/>
      <c r="F816" s="36"/>
      <c r="G816" s="38"/>
      <c r="H816" s="39"/>
      <c r="I816" s="36"/>
    </row>
    <row r="817" spans="1:9" ht="12.5">
      <c r="A817" s="35"/>
      <c r="B817" s="36"/>
      <c r="C817" s="36"/>
      <c r="D817" s="37"/>
      <c r="E817" s="36"/>
      <c r="F817" s="36"/>
      <c r="G817" s="38"/>
      <c r="H817" s="39"/>
      <c r="I817" s="36"/>
    </row>
    <row r="818" spans="1:9" ht="12.5">
      <c r="A818" s="35"/>
      <c r="B818" s="36"/>
      <c r="C818" s="36"/>
      <c r="D818" s="37"/>
      <c r="E818" s="36"/>
      <c r="F818" s="36"/>
      <c r="G818" s="38"/>
      <c r="H818" s="39"/>
      <c r="I818" s="36"/>
    </row>
    <row r="819" spans="1:9" ht="12.5">
      <c r="A819" s="35"/>
      <c r="B819" s="36"/>
      <c r="C819" s="36"/>
      <c r="D819" s="37"/>
      <c r="E819" s="36"/>
      <c r="F819" s="36"/>
      <c r="G819" s="38"/>
      <c r="H819" s="39"/>
      <c r="I819" s="36"/>
    </row>
    <row r="820" spans="1:9" ht="12.5">
      <c r="A820" s="35"/>
      <c r="B820" s="36"/>
      <c r="C820" s="36"/>
      <c r="D820" s="37"/>
      <c r="E820" s="36"/>
      <c r="F820" s="36"/>
      <c r="G820" s="38"/>
      <c r="H820" s="39"/>
      <c r="I820" s="36"/>
    </row>
    <row r="821" spans="1:9" ht="12.5">
      <c r="A821" s="35"/>
      <c r="B821" s="36"/>
      <c r="C821" s="36"/>
      <c r="D821" s="37"/>
      <c r="E821" s="36"/>
      <c r="F821" s="36"/>
      <c r="G821" s="38"/>
      <c r="H821" s="39"/>
      <c r="I821" s="36"/>
    </row>
    <row r="822" spans="1:9" ht="12.5">
      <c r="A822" s="35"/>
      <c r="B822" s="36"/>
      <c r="C822" s="36"/>
      <c r="D822" s="37"/>
      <c r="E822" s="36"/>
      <c r="F822" s="36"/>
      <c r="G822" s="38"/>
      <c r="H822" s="39"/>
      <c r="I822" s="36"/>
    </row>
    <row r="823" spans="1:9" ht="12.5">
      <c r="A823" s="35"/>
      <c r="B823" s="36"/>
      <c r="C823" s="36"/>
      <c r="D823" s="37"/>
      <c r="E823" s="36"/>
      <c r="F823" s="36"/>
      <c r="G823" s="38"/>
      <c r="H823" s="39"/>
      <c r="I823" s="36"/>
    </row>
    <row r="824" spans="1:9" ht="12.5">
      <c r="A824" s="35"/>
      <c r="B824" s="36"/>
      <c r="C824" s="36"/>
      <c r="D824" s="37"/>
      <c r="E824" s="36"/>
      <c r="F824" s="36"/>
      <c r="G824" s="38"/>
      <c r="H824" s="39"/>
      <c r="I824" s="36"/>
    </row>
    <row r="825" spans="1:9" ht="12.5">
      <c r="A825" s="35"/>
      <c r="B825" s="36"/>
      <c r="C825" s="36"/>
      <c r="D825" s="37"/>
      <c r="E825" s="36"/>
      <c r="F825" s="36"/>
      <c r="G825" s="38"/>
      <c r="H825" s="39"/>
      <c r="I825" s="36"/>
    </row>
    <row r="826" spans="1:9" ht="12.5">
      <c r="A826" s="35"/>
      <c r="B826" s="36"/>
      <c r="C826" s="36"/>
      <c r="D826" s="37"/>
      <c r="E826" s="36"/>
      <c r="F826" s="36"/>
      <c r="G826" s="38"/>
      <c r="H826" s="39"/>
      <c r="I826" s="36"/>
    </row>
    <row r="827" spans="1:9" ht="12.5">
      <c r="A827" s="35"/>
      <c r="B827" s="36"/>
      <c r="C827" s="36"/>
      <c r="D827" s="37"/>
      <c r="E827" s="36"/>
      <c r="F827" s="36"/>
      <c r="G827" s="38"/>
      <c r="H827" s="39"/>
      <c r="I827" s="36"/>
    </row>
    <row r="828" spans="1:9" ht="12.5">
      <c r="A828" s="35"/>
      <c r="B828" s="36"/>
      <c r="C828" s="36"/>
      <c r="D828" s="37"/>
      <c r="E828" s="36"/>
      <c r="F828" s="36"/>
      <c r="G828" s="38"/>
      <c r="H828" s="39"/>
      <c r="I828" s="36"/>
    </row>
    <row r="829" spans="1:9" ht="12.5">
      <c r="A829" s="35"/>
      <c r="B829" s="36"/>
      <c r="C829" s="36"/>
      <c r="D829" s="37"/>
      <c r="E829" s="36"/>
      <c r="F829" s="36"/>
      <c r="G829" s="38"/>
      <c r="H829" s="39"/>
      <c r="I829" s="36"/>
    </row>
    <row r="830" spans="1:9" ht="12.5">
      <c r="A830" s="35"/>
      <c r="B830" s="36"/>
      <c r="C830" s="36"/>
      <c r="D830" s="37"/>
      <c r="E830" s="36"/>
      <c r="F830" s="36"/>
      <c r="G830" s="38"/>
      <c r="H830" s="39"/>
      <c r="I830" s="36"/>
    </row>
    <row r="831" spans="1:9" ht="12.5">
      <c r="A831" s="35"/>
      <c r="B831" s="36"/>
      <c r="C831" s="36"/>
      <c r="D831" s="37"/>
      <c r="E831" s="36"/>
      <c r="F831" s="36"/>
      <c r="G831" s="38"/>
      <c r="H831" s="39"/>
      <c r="I831" s="36"/>
    </row>
    <row r="832" spans="1:9" ht="12.5">
      <c r="A832" s="35"/>
      <c r="B832" s="36"/>
      <c r="C832" s="36"/>
      <c r="D832" s="37"/>
      <c r="E832" s="36"/>
      <c r="F832" s="36"/>
      <c r="G832" s="38"/>
      <c r="H832" s="39"/>
      <c r="I832" s="36"/>
    </row>
    <row r="833" spans="1:9" ht="12.5">
      <c r="A833" s="35"/>
      <c r="B833" s="36"/>
      <c r="C833" s="36"/>
      <c r="D833" s="37"/>
      <c r="E833" s="36"/>
      <c r="F833" s="36"/>
      <c r="G833" s="38"/>
      <c r="H833" s="39"/>
      <c r="I833" s="36"/>
    </row>
    <row r="834" spans="1:9" ht="12.5">
      <c r="A834" s="35"/>
      <c r="B834" s="36"/>
      <c r="C834" s="36"/>
      <c r="D834" s="37"/>
      <c r="E834" s="36"/>
      <c r="F834" s="36"/>
      <c r="G834" s="38"/>
      <c r="H834" s="39"/>
      <c r="I834" s="36"/>
    </row>
    <row r="835" spans="1:9" ht="12.5">
      <c r="A835" s="35"/>
      <c r="B835" s="36"/>
      <c r="C835" s="36"/>
      <c r="D835" s="37"/>
      <c r="E835" s="36"/>
      <c r="F835" s="36"/>
      <c r="G835" s="38"/>
      <c r="H835" s="39"/>
      <c r="I835" s="36"/>
    </row>
    <row r="836" spans="1:9" ht="12.5">
      <c r="A836" s="35"/>
      <c r="B836" s="36"/>
      <c r="C836" s="36"/>
      <c r="D836" s="37"/>
      <c r="E836" s="36"/>
      <c r="F836" s="36"/>
      <c r="G836" s="38"/>
      <c r="H836" s="39"/>
      <c r="I836" s="36"/>
    </row>
    <row r="837" spans="1:9" ht="12.5">
      <c r="A837" s="35"/>
      <c r="B837" s="36"/>
      <c r="C837" s="36"/>
      <c r="D837" s="37"/>
      <c r="E837" s="36"/>
      <c r="F837" s="36"/>
      <c r="G837" s="38"/>
      <c r="H837" s="39"/>
      <c r="I837" s="36"/>
    </row>
    <row r="838" spans="1:9" ht="12.5">
      <c r="A838" s="35"/>
      <c r="B838" s="36"/>
      <c r="C838" s="36"/>
      <c r="D838" s="37"/>
      <c r="E838" s="36"/>
      <c r="F838" s="36"/>
      <c r="G838" s="38"/>
      <c r="H838" s="39"/>
      <c r="I838" s="36"/>
    </row>
    <row r="839" spans="1:9" ht="12.5">
      <c r="A839" s="35"/>
      <c r="B839" s="36"/>
      <c r="C839" s="36"/>
      <c r="D839" s="37"/>
      <c r="E839" s="36"/>
      <c r="F839" s="36"/>
      <c r="G839" s="38"/>
      <c r="H839" s="39"/>
      <c r="I839" s="36"/>
    </row>
    <row r="840" spans="1:9" ht="12.5">
      <c r="A840" s="35"/>
      <c r="B840" s="36"/>
      <c r="C840" s="36"/>
      <c r="D840" s="37"/>
      <c r="E840" s="36"/>
      <c r="F840" s="36"/>
      <c r="G840" s="38"/>
      <c r="H840" s="39"/>
      <c r="I840" s="36"/>
    </row>
    <row r="841" spans="1:9" ht="12.5">
      <c r="A841" s="35"/>
      <c r="B841" s="36"/>
      <c r="C841" s="36"/>
      <c r="D841" s="37"/>
      <c r="E841" s="36"/>
      <c r="F841" s="36"/>
      <c r="G841" s="38"/>
      <c r="H841" s="39"/>
      <c r="I841" s="36"/>
    </row>
    <row r="842" spans="1:9" ht="12.5">
      <c r="A842" s="35"/>
      <c r="B842" s="36"/>
      <c r="C842" s="36"/>
      <c r="D842" s="37"/>
      <c r="E842" s="36"/>
      <c r="F842" s="36"/>
      <c r="G842" s="38"/>
      <c r="H842" s="39"/>
      <c r="I842" s="36"/>
    </row>
    <row r="843" spans="1:9" ht="12.5">
      <c r="A843" s="35"/>
      <c r="B843" s="36"/>
      <c r="C843" s="36"/>
      <c r="D843" s="37"/>
      <c r="E843" s="36"/>
      <c r="F843" s="36"/>
      <c r="G843" s="38"/>
      <c r="H843" s="39"/>
      <c r="I843" s="36"/>
    </row>
    <row r="844" spans="1:9" ht="12.5">
      <c r="A844" s="35"/>
      <c r="B844" s="36"/>
      <c r="C844" s="36"/>
      <c r="D844" s="37"/>
      <c r="E844" s="36"/>
      <c r="F844" s="36"/>
      <c r="G844" s="38"/>
      <c r="H844" s="39"/>
      <c r="I844" s="36"/>
    </row>
    <row r="845" spans="1:9" ht="12.5">
      <c r="A845" s="35"/>
      <c r="B845" s="36"/>
      <c r="C845" s="36"/>
      <c r="D845" s="37"/>
      <c r="E845" s="36"/>
      <c r="F845" s="36"/>
      <c r="G845" s="38"/>
      <c r="H845" s="39"/>
      <c r="I845" s="36"/>
    </row>
    <row r="846" spans="1:9" ht="12.5">
      <c r="A846" s="35"/>
      <c r="B846" s="36"/>
      <c r="C846" s="36"/>
      <c r="D846" s="37"/>
      <c r="E846" s="36"/>
      <c r="F846" s="36"/>
      <c r="G846" s="38"/>
      <c r="H846" s="39"/>
      <c r="I846" s="36"/>
    </row>
    <row r="847" spans="1:9" ht="12.5">
      <c r="A847" s="35"/>
      <c r="B847" s="36"/>
      <c r="C847" s="36"/>
      <c r="D847" s="37"/>
      <c r="E847" s="36"/>
      <c r="F847" s="36"/>
      <c r="G847" s="38"/>
      <c r="H847" s="39"/>
      <c r="I847" s="36"/>
    </row>
    <row r="848" spans="1:9" ht="12.5">
      <c r="A848" s="35"/>
      <c r="B848" s="36"/>
      <c r="C848" s="36"/>
      <c r="D848" s="37"/>
      <c r="E848" s="36"/>
      <c r="F848" s="36"/>
      <c r="G848" s="38"/>
      <c r="H848" s="39"/>
      <c r="I848" s="36"/>
    </row>
    <row r="849" spans="1:9" ht="12.5">
      <c r="A849" s="35"/>
      <c r="B849" s="36"/>
      <c r="C849" s="36"/>
      <c r="D849" s="37"/>
      <c r="E849" s="36"/>
      <c r="F849" s="36"/>
      <c r="G849" s="38"/>
      <c r="H849" s="39"/>
      <c r="I849" s="36"/>
    </row>
    <row r="850" spans="1:9" ht="12.5">
      <c r="A850" s="35"/>
      <c r="B850" s="36"/>
      <c r="C850" s="36"/>
      <c r="D850" s="37"/>
      <c r="E850" s="36"/>
      <c r="F850" s="36"/>
      <c r="G850" s="38"/>
      <c r="H850" s="39"/>
      <c r="I850" s="36"/>
    </row>
    <row r="851" spans="1:9" ht="12.5">
      <c r="A851" s="35"/>
      <c r="B851" s="36"/>
      <c r="C851" s="36"/>
      <c r="D851" s="37"/>
      <c r="E851" s="36"/>
      <c r="F851" s="36"/>
      <c r="G851" s="38"/>
      <c r="H851" s="39"/>
      <c r="I851" s="36"/>
    </row>
    <row r="852" spans="1:9" ht="12.5">
      <c r="A852" s="35"/>
      <c r="B852" s="36"/>
      <c r="C852" s="36"/>
      <c r="D852" s="37"/>
      <c r="E852" s="36"/>
      <c r="F852" s="36"/>
      <c r="G852" s="38"/>
      <c r="H852" s="39"/>
      <c r="I852" s="36"/>
    </row>
    <row r="853" spans="1:9" ht="12.5">
      <c r="A853" s="35"/>
      <c r="B853" s="36"/>
      <c r="C853" s="36"/>
      <c r="D853" s="37"/>
      <c r="E853" s="36"/>
      <c r="F853" s="36"/>
      <c r="G853" s="38"/>
      <c r="H853" s="39"/>
      <c r="I853" s="36"/>
    </row>
    <row r="854" spans="1:9" ht="12.5">
      <c r="A854" s="35"/>
      <c r="B854" s="36"/>
      <c r="C854" s="36"/>
      <c r="D854" s="37"/>
      <c r="E854" s="36"/>
      <c r="F854" s="36"/>
      <c r="G854" s="38"/>
      <c r="H854" s="39"/>
      <c r="I854" s="36"/>
    </row>
    <row r="855" spans="1:9" ht="12.5">
      <c r="A855" s="35"/>
      <c r="B855" s="36"/>
      <c r="C855" s="36"/>
      <c r="D855" s="37"/>
      <c r="E855" s="36"/>
      <c r="F855" s="36"/>
      <c r="G855" s="38"/>
      <c r="H855" s="39"/>
      <c r="I855" s="36"/>
    </row>
    <row r="856" spans="1:9" ht="12.5">
      <c r="A856" s="35"/>
      <c r="B856" s="36"/>
      <c r="C856" s="36"/>
      <c r="D856" s="37"/>
      <c r="E856" s="36"/>
      <c r="F856" s="36"/>
      <c r="G856" s="38"/>
      <c r="H856" s="39"/>
      <c r="I856" s="36"/>
    </row>
    <row r="857" spans="1:9" ht="12.5">
      <c r="A857" s="35"/>
      <c r="B857" s="36"/>
      <c r="C857" s="36"/>
      <c r="D857" s="37"/>
      <c r="E857" s="36"/>
      <c r="F857" s="36"/>
      <c r="G857" s="38"/>
      <c r="H857" s="39"/>
      <c r="I857" s="36"/>
    </row>
    <row r="858" spans="1:9" ht="12.5">
      <c r="A858" s="35"/>
      <c r="B858" s="36"/>
      <c r="C858" s="36"/>
      <c r="D858" s="37"/>
      <c r="E858" s="36"/>
      <c r="F858" s="36"/>
      <c r="G858" s="38"/>
      <c r="H858" s="39"/>
      <c r="I858" s="36"/>
    </row>
    <row r="859" spans="1:9" ht="12.5">
      <c r="A859" s="35"/>
      <c r="B859" s="36"/>
      <c r="C859" s="36"/>
      <c r="D859" s="37"/>
      <c r="E859" s="36"/>
      <c r="F859" s="36"/>
      <c r="G859" s="38"/>
      <c r="H859" s="39"/>
      <c r="I859" s="36"/>
    </row>
    <row r="860" spans="1:9" ht="12.5">
      <c r="A860" s="35"/>
      <c r="B860" s="36"/>
      <c r="C860" s="36"/>
      <c r="D860" s="37"/>
      <c r="E860" s="36"/>
      <c r="F860" s="36"/>
      <c r="G860" s="38"/>
      <c r="H860" s="39"/>
      <c r="I860" s="36"/>
    </row>
    <row r="861" spans="1:9" ht="12.5">
      <c r="A861" s="35"/>
      <c r="B861" s="36"/>
      <c r="C861" s="36"/>
      <c r="D861" s="37"/>
      <c r="E861" s="36"/>
      <c r="F861" s="36"/>
      <c r="G861" s="38"/>
      <c r="H861" s="39"/>
      <c r="I861" s="36"/>
    </row>
    <row r="862" spans="1:9" ht="12.5">
      <c r="A862" s="35"/>
      <c r="B862" s="36"/>
      <c r="C862" s="36"/>
      <c r="D862" s="37"/>
      <c r="E862" s="36"/>
      <c r="F862" s="36"/>
      <c r="G862" s="38"/>
      <c r="H862" s="39"/>
      <c r="I862" s="36"/>
    </row>
    <row r="863" spans="1:9" ht="12.5">
      <c r="A863" s="35"/>
      <c r="B863" s="36"/>
      <c r="C863" s="36"/>
      <c r="D863" s="37"/>
      <c r="E863" s="36"/>
      <c r="F863" s="36"/>
      <c r="G863" s="38"/>
      <c r="H863" s="39"/>
      <c r="I863" s="36"/>
    </row>
    <row r="864" spans="1:9" ht="12.5">
      <c r="A864" s="35"/>
      <c r="B864" s="36"/>
      <c r="C864" s="36"/>
      <c r="D864" s="37"/>
      <c r="E864" s="36"/>
      <c r="F864" s="36"/>
      <c r="G864" s="38"/>
      <c r="H864" s="39"/>
      <c r="I864" s="36"/>
    </row>
    <row r="865" spans="1:9" ht="12.5">
      <c r="A865" s="35"/>
      <c r="B865" s="36"/>
      <c r="C865" s="36"/>
      <c r="D865" s="37"/>
      <c r="E865" s="36"/>
      <c r="F865" s="36"/>
      <c r="G865" s="38"/>
      <c r="H865" s="39"/>
      <c r="I865" s="36"/>
    </row>
    <row r="866" spans="1:9" ht="12.5">
      <c r="A866" s="35"/>
      <c r="B866" s="36"/>
      <c r="C866" s="36"/>
      <c r="D866" s="37"/>
      <c r="E866" s="36"/>
      <c r="F866" s="36"/>
      <c r="G866" s="38"/>
      <c r="H866" s="39"/>
      <c r="I866" s="36"/>
    </row>
    <row r="867" spans="1:9" ht="12.5">
      <c r="A867" s="35"/>
      <c r="B867" s="36"/>
      <c r="C867" s="36"/>
      <c r="D867" s="37"/>
      <c r="E867" s="36"/>
      <c r="F867" s="36"/>
      <c r="G867" s="38"/>
      <c r="H867" s="39"/>
      <c r="I867" s="36"/>
    </row>
    <row r="868" spans="1:9" ht="12.5">
      <c r="A868" s="35"/>
      <c r="B868" s="36"/>
      <c r="C868" s="36"/>
      <c r="D868" s="37"/>
      <c r="E868" s="36"/>
      <c r="F868" s="36"/>
      <c r="G868" s="38"/>
      <c r="H868" s="39"/>
      <c r="I868" s="36"/>
    </row>
    <row r="869" spans="1:9" ht="12.5">
      <c r="A869" s="35"/>
      <c r="B869" s="36"/>
      <c r="C869" s="36"/>
      <c r="D869" s="37"/>
      <c r="E869" s="36"/>
      <c r="F869" s="36"/>
      <c r="G869" s="38"/>
      <c r="H869" s="39"/>
      <c r="I869" s="36"/>
    </row>
    <row r="870" spans="1:9" ht="12.5">
      <c r="A870" s="35"/>
      <c r="B870" s="36"/>
      <c r="C870" s="36"/>
      <c r="D870" s="37"/>
      <c r="E870" s="36"/>
      <c r="F870" s="36"/>
      <c r="G870" s="38"/>
      <c r="H870" s="39"/>
      <c r="I870" s="36"/>
    </row>
    <row r="871" spans="1:9" ht="12.5">
      <c r="A871" s="35"/>
      <c r="B871" s="36"/>
      <c r="C871" s="36"/>
      <c r="D871" s="37"/>
      <c r="E871" s="36"/>
      <c r="F871" s="36"/>
      <c r="G871" s="38"/>
      <c r="H871" s="39"/>
      <c r="I871" s="36"/>
    </row>
    <row r="872" spans="1:9" ht="12.5">
      <c r="A872" s="35"/>
      <c r="B872" s="36"/>
      <c r="C872" s="36"/>
      <c r="D872" s="37"/>
      <c r="E872" s="36"/>
      <c r="F872" s="36"/>
      <c r="G872" s="38"/>
      <c r="H872" s="39"/>
      <c r="I872" s="36"/>
    </row>
    <row r="873" spans="1:9" ht="12.5">
      <c r="A873" s="35"/>
      <c r="B873" s="36"/>
      <c r="C873" s="36"/>
      <c r="D873" s="37"/>
      <c r="E873" s="36"/>
      <c r="F873" s="36"/>
      <c r="G873" s="38"/>
      <c r="H873" s="39"/>
      <c r="I873" s="36"/>
    </row>
    <row r="874" spans="1:9" ht="12.5">
      <c r="A874" s="35"/>
      <c r="B874" s="36"/>
      <c r="C874" s="36"/>
      <c r="D874" s="37"/>
      <c r="E874" s="36"/>
      <c r="F874" s="36"/>
      <c r="G874" s="38"/>
      <c r="H874" s="39"/>
      <c r="I874" s="36"/>
    </row>
    <row r="875" spans="1:9" ht="12.5">
      <c r="A875" s="35"/>
      <c r="B875" s="36"/>
      <c r="C875" s="36"/>
      <c r="D875" s="37"/>
      <c r="E875" s="36"/>
      <c r="F875" s="36"/>
      <c r="G875" s="38"/>
      <c r="H875" s="39"/>
      <c r="I875" s="36"/>
    </row>
    <row r="876" spans="1:9" ht="12.5">
      <c r="A876" s="35"/>
      <c r="B876" s="36"/>
      <c r="C876" s="36"/>
      <c r="D876" s="37"/>
      <c r="E876" s="36"/>
      <c r="F876" s="36"/>
      <c r="G876" s="38"/>
      <c r="H876" s="39"/>
      <c r="I876" s="36"/>
    </row>
    <row r="877" spans="1:9" ht="12.5">
      <c r="A877" s="35"/>
      <c r="B877" s="36"/>
      <c r="C877" s="36"/>
      <c r="D877" s="37"/>
      <c r="E877" s="36"/>
      <c r="F877" s="36"/>
      <c r="G877" s="38"/>
      <c r="H877" s="39"/>
      <c r="I877" s="36"/>
    </row>
    <row r="878" spans="1:9" ht="12.5">
      <c r="A878" s="35"/>
      <c r="B878" s="36"/>
      <c r="C878" s="36"/>
      <c r="D878" s="37"/>
      <c r="E878" s="36"/>
      <c r="F878" s="36"/>
      <c r="G878" s="38"/>
      <c r="H878" s="39"/>
      <c r="I878" s="36"/>
    </row>
    <row r="879" spans="1:9" ht="12.5">
      <c r="A879" s="35"/>
      <c r="B879" s="36"/>
      <c r="C879" s="36"/>
      <c r="D879" s="37"/>
      <c r="E879" s="36"/>
      <c r="F879" s="36"/>
      <c r="G879" s="38"/>
      <c r="H879" s="39"/>
      <c r="I879" s="36"/>
    </row>
    <row r="880" spans="1:9" ht="12.5">
      <c r="A880" s="35"/>
      <c r="B880" s="36"/>
      <c r="C880" s="36"/>
      <c r="D880" s="37"/>
      <c r="E880" s="36"/>
      <c r="F880" s="36"/>
      <c r="G880" s="38"/>
      <c r="H880" s="39"/>
      <c r="I880" s="36"/>
    </row>
    <row r="881" spans="1:9" ht="12.5">
      <c r="A881" s="35"/>
      <c r="B881" s="36"/>
      <c r="C881" s="36"/>
      <c r="D881" s="37"/>
      <c r="E881" s="36"/>
      <c r="F881" s="36"/>
      <c r="G881" s="38"/>
      <c r="H881" s="39"/>
      <c r="I881" s="36"/>
    </row>
    <row r="882" spans="1:9" ht="12.5">
      <c r="A882" s="35"/>
      <c r="B882" s="36"/>
      <c r="C882" s="36"/>
      <c r="D882" s="37"/>
      <c r="E882" s="36"/>
      <c r="F882" s="36"/>
      <c r="G882" s="38"/>
      <c r="H882" s="39"/>
      <c r="I882" s="36"/>
    </row>
    <row r="883" spans="1:9" ht="12.5">
      <c r="A883" s="35"/>
      <c r="B883" s="36"/>
      <c r="C883" s="36"/>
      <c r="D883" s="37"/>
      <c r="E883" s="36"/>
      <c r="F883" s="36"/>
      <c r="G883" s="38"/>
      <c r="H883" s="39"/>
      <c r="I883" s="36"/>
    </row>
    <row r="884" spans="1:9" ht="12.5">
      <c r="A884" s="35"/>
      <c r="B884" s="36"/>
      <c r="C884" s="36"/>
      <c r="D884" s="37"/>
      <c r="E884" s="36"/>
      <c r="F884" s="36"/>
      <c r="G884" s="38"/>
      <c r="H884" s="39"/>
      <c r="I884" s="36"/>
    </row>
    <row r="885" spans="1:9" ht="12.5">
      <c r="A885" s="35"/>
      <c r="B885" s="36"/>
      <c r="C885" s="36"/>
      <c r="D885" s="37"/>
      <c r="E885" s="36"/>
      <c r="F885" s="36"/>
      <c r="G885" s="38"/>
      <c r="H885" s="39"/>
      <c r="I885" s="36"/>
    </row>
    <row r="886" spans="1:9" ht="12.5">
      <c r="A886" s="35"/>
      <c r="B886" s="36"/>
      <c r="C886" s="36"/>
      <c r="D886" s="37"/>
      <c r="E886" s="36"/>
      <c r="F886" s="36"/>
      <c r="G886" s="38"/>
      <c r="H886" s="39"/>
      <c r="I886" s="36"/>
    </row>
    <row r="887" spans="1:9" ht="12.5">
      <c r="A887" s="35"/>
      <c r="B887" s="36"/>
      <c r="C887" s="36"/>
      <c r="D887" s="37"/>
      <c r="E887" s="36"/>
      <c r="F887" s="36"/>
      <c r="G887" s="38"/>
      <c r="H887" s="39"/>
      <c r="I887" s="36"/>
    </row>
    <row r="888" spans="1:9" ht="12.5">
      <c r="A888" s="35"/>
      <c r="B888" s="36"/>
      <c r="C888" s="36"/>
      <c r="D888" s="37"/>
      <c r="E888" s="36"/>
      <c r="F888" s="36"/>
      <c r="G888" s="38"/>
      <c r="H888" s="39"/>
      <c r="I888" s="36"/>
    </row>
    <row r="889" spans="1:9" ht="12.5">
      <c r="A889" s="35"/>
      <c r="B889" s="36"/>
      <c r="C889" s="36"/>
      <c r="D889" s="37"/>
      <c r="E889" s="36"/>
      <c r="F889" s="36"/>
      <c r="G889" s="38"/>
      <c r="H889" s="39"/>
      <c r="I889" s="36"/>
    </row>
    <row r="890" spans="1:9" ht="12.5">
      <c r="A890" s="35"/>
      <c r="B890" s="36"/>
      <c r="C890" s="36"/>
      <c r="D890" s="37"/>
      <c r="E890" s="36"/>
      <c r="F890" s="36"/>
      <c r="G890" s="38"/>
      <c r="H890" s="39"/>
      <c r="I890" s="36"/>
    </row>
    <row r="891" spans="1:9" ht="12.5">
      <c r="A891" s="35"/>
      <c r="B891" s="36"/>
      <c r="C891" s="36"/>
      <c r="D891" s="37"/>
      <c r="E891" s="36"/>
      <c r="F891" s="36"/>
      <c r="G891" s="38"/>
      <c r="H891" s="39"/>
      <c r="I891" s="36"/>
    </row>
    <row r="892" spans="1:9" ht="12.5">
      <c r="A892" s="35"/>
      <c r="B892" s="36"/>
      <c r="C892" s="36"/>
      <c r="D892" s="37"/>
      <c r="E892" s="36"/>
      <c r="F892" s="36"/>
      <c r="G892" s="38"/>
      <c r="H892" s="39"/>
      <c r="I892" s="36"/>
    </row>
    <row r="893" spans="1:9" ht="12.5">
      <c r="A893" s="35"/>
      <c r="B893" s="36"/>
      <c r="C893" s="36"/>
      <c r="D893" s="37"/>
      <c r="E893" s="36"/>
      <c r="F893" s="36"/>
      <c r="G893" s="38"/>
      <c r="H893" s="39"/>
      <c r="I893" s="36"/>
    </row>
    <row r="894" spans="1:9" ht="12.5">
      <c r="A894" s="35"/>
      <c r="B894" s="36"/>
      <c r="C894" s="36"/>
      <c r="D894" s="37"/>
      <c r="E894" s="36"/>
      <c r="F894" s="36"/>
      <c r="G894" s="38"/>
      <c r="H894" s="39"/>
      <c r="I894" s="36"/>
    </row>
    <row r="895" spans="1:9" ht="12.5">
      <c r="A895" s="35"/>
      <c r="B895" s="36"/>
      <c r="C895" s="36"/>
      <c r="D895" s="37"/>
      <c r="E895" s="36"/>
      <c r="F895" s="36"/>
      <c r="G895" s="38"/>
      <c r="H895" s="39"/>
      <c r="I895" s="36"/>
    </row>
    <row r="896" spans="1:9" ht="12.5">
      <c r="A896" s="35"/>
      <c r="B896" s="36"/>
      <c r="C896" s="36"/>
      <c r="D896" s="37"/>
      <c r="E896" s="36"/>
      <c r="F896" s="36"/>
      <c r="G896" s="38"/>
      <c r="H896" s="39"/>
      <c r="I896" s="36"/>
    </row>
    <row r="897" spans="1:9" ht="12.5">
      <c r="A897" s="35"/>
      <c r="B897" s="36"/>
      <c r="C897" s="36"/>
      <c r="D897" s="37"/>
      <c r="E897" s="36"/>
      <c r="F897" s="36"/>
      <c r="G897" s="38"/>
      <c r="H897" s="39"/>
      <c r="I897" s="36"/>
    </row>
    <row r="898" spans="1:9" ht="12.5">
      <c r="A898" s="35"/>
      <c r="B898" s="36"/>
      <c r="C898" s="36"/>
      <c r="D898" s="37"/>
      <c r="E898" s="36"/>
      <c r="F898" s="36"/>
      <c r="G898" s="38"/>
      <c r="H898" s="39"/>
      <c r="I898" s="36"/>
    </row>
    <row r="899" spans="1:9" ht="12.5">
      <c r="A899" s="35"/>
      <c r="B899" s="36"/>
      <c r="C899" s="36"/>
      <c r="D899" s="37"/>
      <c r="E899" s="36"/>
      <c r="F899" s="36"/>
      <c r="G899" s="38"/>
      <c r="H899" s="39"/>
      <c r="I899" s="36"/>
    </row>
    <row r="900" spans="1:9" ht="12.5">
      <c r="A900" s="35"/>
      <c r="B900" s="36"/>
      <c r="C900" s="36"/>
      <c r="D900" s="37"/>
      <c r="E900" s="36"/>
      <c r="F900" s="36"/>
      <c r="G900" s="38"/>
      <c r="H900" s="39"/>
      <c r="I900" s="36"/>
    </row>
    <row r="901" spans="1:9" ht="12.5">
      <c r="A901" s="35"/>
      <c r="B901" s="36"/>
      <c r="C901" s="36"/>
      <c r="D901" s="37"/>
      <c r="E901" s="36"/>
      <c r="F901" s="36"/>
      <c r="G901" s="38"/>
      <c r="H901" s="39"/>
      <c r="I901" s="36"/>
    </row>
    <row r="902" spans="1:9" ht="12.5">
      <c r="A902" s="35"/>
      <c r="B902" s="36"/>
      <c r="C902" s="36"/>
      <c r="D902" s="37"/>
      <c r="E902" s="36"/>
      <c r="F902" s="36"/>
      <c r="G902" s="38"/>
      <c r="H902" s="39"/>
      <c r="I902" s="36"/>
    </row>
    <row r="903" spans="1:9" ht="12.5">
      <c r="A903" s="35"/>
      <c r="B903" s="36"/>
      <c r="C903" s="36"/>
      <c r="D903" s="37"/>
      <c r="E903" s="36"/>
      <c r="F903" s="36"/>
      <c r="G903" s="38"/>
      <c r="H903" s="39"/>
      <c r="I903" s="36"/>
    </row>
    <row r="904" spans="1:9" ht="12.5">
      <c r="A904" s="35"/>
      <c r="B904" s="36"/>
      <c r="C904" s="36"/>
      <c r="D904" s="37"/>
      <c r="E904" s="36"/>
      <c r="F904" s="36"/>
      <c r="G904" s="38"/>
      <c r="H904" s="39"/>
      <c r="I904" s="36"/>
    </row>
    <row r="905" spans="1:9" ht="12.5">
      <c r="A905" s="35"/>
      <c r="B905" s="36"/>
      <c r="C905" s="36"/>
      <c r="D905" s="37"/>
      <c r="E905" s="36"/>
      <c r="F905" s="36"/>
      <c r="G905" s="38"/>
      <c r="H905" s="39"/>
      <c r="I905" s="36"/>
    </row>
    <row r="906" spans="1:9" ht="12.5">
      <c r="A906" s="35"/>
      <c r="B906" s="36"/>
      <c r="C906" s="36"/>
      <c r="D906" s="37"/>
      <c r="E906" s="36"/>
      <c r="F906" s="36"/>
      <c r="G906" s="38"/>
      <c r="H906" s="39"/>
      <c r="I906" s="36"/>
    </row>
    <row r="907" spans="1:9" ht="12.5">
      <c r="A907" s="35"/>
      <c r="B907" s="36"/>
      <c r="C907" s="36"/>
      <c r="D907" s="37"/>
      <c r="E907" s="36"/>
      <c r="F907" s="36"/>
      <c r="G907" s="38"/>
      <c r="H907" s="39"/>
      <c r="I907" s="36"/>
    </row>
    <row r="908" spans="1:9" ht="12.5">
      <c r="A908" s="35"/>
      <c r="B908" s="36"/>
      <c r="C908" s="36"/>
      <c r="D908" s="37"/>
      <c r="E908" s="36"/>
      <c r="F908" s="36"/>
      <c r="G908" s="38"/>
      <c r="H908" s="39"/>
      <c r="I908" s="36"/>
    </row>
    <row r="909" spans="1:9" ht="12.5">
      <c r="A909" s="35"/>
      <c r="B909" s="36"/>
      <c r="C909" s="36"/>
      <c r="D909" s="37"/>
      <c r="E909" s="36"/>
      <c r="F909" s="36"/>
      <c r="G909" s="38"/>
      <c r="H909" s="39"/>
      <c r="I909" s="36"/>
    </row>
    <row r="910" spans="1:9" ht="12.5">
      <c r="A910" s="35"/>
      <c r="B910" s="36"/>
      <c r="C910" s="36"/>
      <c r="D910" s="37"/>
      <c r="E910" s="36"/>
      <c r="F910" s="36"/>
      <c r="G910" s="38"/>
      <c r="H910" s="39"/>
      <c r="I910" s="36"/>
    </row>
    <row r="911" spans="1:9" ht="12.5">
      <c r="A911" s="35"/>
      <c r="B911" s="36"/>
      <c r="C911" s="36"/>
      <c r="D911" s="37"/>
      <c r="E911" s="36"/>
      <c r="F911" s="36"/>
      <c r="G911" s="38"/>
      <c r="H911" s="39"/>
      <c r="I911" s="36"/>
    </row>
    <row r="912" spans="1:9" ht="12.5">
      <c r="A912" s="35"/>
      <c r="B912" s="36"/>
      <c r="C912" s="36"/>
      <c r="D912" s="37"/>
      <c r="E912" s="36"/>
      <c r="F912" s="36"/>
      <c r="G912" s="38"/>
      <c r="H912" s="39"/>
      <c r="I912" s="36"/>
    </row>
    <row r="913" spans="1:9" ht="12.5">
      <c r="A913" s="35"/>
      <c r="B913" s="36"/>
      <c r="C913" s="36"/>
      <c r="D913" s="37"/>
      <c r="E913" s="36"/>
      <c r="F913" s="36"/>
      <c r="G913" s="38"/>
      <c r="H913" s="39"/>
      <c r="I913" s="36"/>
    </row>
    <row r="914" spans="1:9" ht="12.5">
      <c r="A914" s="35"/>
      <c r="B914" s="36"/>
      <c r="C914" s="36"/>
      <c r="D914" s="37"/>
      <c r="E914" s="36"/>
      <c r="F914" s="36"/>
      <c r="G914" s="38"/>
      <c r="H914" s="39"/>
      <c r="I914" s="36"/>
    </row>
    <row r="915" spans="1:9" ht="12.5">
      <c r="A915" s="35"/>
      <c r="B915" s="36"/>
      <c r="C915" s="36"/>
      <c r="D915" s="37"/>
      <c r="E915" s="36"/>
      <c r="F915" s="36"/>
      <c r="G915" s="38"/>
      <c r="H915" s="39"/>
      <c r="I915" s="36"/>
    </row>
    <row r="916" spans="1:9" ht="12.5">
      <c r="A916" s="35"/>
      <c r="B916" s="36"/>
      <c r="C916" s="36"/>
      <c r="D916" s="37"/>
      <c r="E916" s="36"/>
      <c r="F916" s="36"/>
      <c r="G916" s="38"/>
      <c r="H916" s="39"/>
      <c r="I916" s="36"/>
    </row>
    <row r="917" spans="1:9" ht="12.5">
      <c r="A917" s="35"/>
      <c r="B917" s="36"/>
      <c r="C917" s="36"/>
      <c r="D917" s="37"/>
      <c r="E917" s="36"/>
      <c r="F917" s="36"/>
      <c r="G917" s="38"/>
      <c r="H917" s="39"/>
      <c r="I917" s="36"/>
    </row>
    <row r="918" spans="1:9" ht="12.5">
      <c r="A918" s="35"/>
      <c r="B918" s="36"/>
      <c r="C918" s="36"/>
      <c r="D918" s="37"/>
      <c r="E918" s="36"/>
      <c r="F918" s="36"/>
      <c r="G918" s="38"/>
      <c r="H918" s="39"/>
      <c r="I918" s="36"/>
    </row>
    <row r="919" spans="1:9" ht="12.5">
      <c r="A919" s="35"/>
      <c r="B919" s="36"/>
      <c r="C919" s="36"/>
      <c r="D919" s="37"/>
      <c r="E919" s="36"/>
      <c r="F919" s="36"/>
      <c r="G919" s="38"/>
      <c r="H919" s="39"/>
      <c r="I919" s="36"/>
    </row>
    <row r="920" spans="1:9" ht="12.5">
      <c r="A920" s="35"/>
      <c r="B920" s="36"/>
      <c r="C920" s="36"/>
      <c r="D920" s="37"/>
      <c r="E920" s="36"/>
      <c r="F920" s="36"/>
      <c r="G920" s="38"/>
      <c r="H920" s="39"/>
      <c r="I920" s="36"/>
    </row>
    <row r="921" spans="1:9" ht="12.5">
      <c r="A921" s="35"/>
      <c r="B921" s="36"/>
      <c r="C921" s="36"/>
      <c r="D921" s="37"/>
      <c r="E921" s="36"/>
      <c r="F921" s="36"/>
      <c r="G921" s="38"/>
      <c r="H921" s="39"/>
      <c r="I921" s="36"/>
    </row>
    <row r="922" spans="1:9" ht="12.5">
      <c r="A922" s="35"/>
      <c r="B922" s="36"/>
      <c r="C922" s="36"/>
      <c r="D922" s="37"/>
      <c r="E922" s="36"/>
      <c r="F922" s="36"/>
      <c r="G922" s="38"/>
      <c r="H922" s="39"/>
      <c r="I922" s="36"/>
    </row>
    <row r="923" spans="1:9" ht="12.5">
      <c r="A923" s="35"/>
      <c r="B923" s="36"/>
      <c r="C923" s="36"/>
      <c r="D923" s="37"/>
      <c r="E923" s="36"/>
      <c r="F923" s="36"/>
      <c r="G923" s="38"/>
      <c r="H923" s="39"/>
      <c r="I923" s="36"/>
    </row>
    <row r="924" spans="1:9" ht="12.5">
      <c r="A924" s="35"/>
      <c r="B924" s="36"/>
      <c r="C924" s="36"/>
      <c r="D924" s="37"/>
      <c r="E924" s="36"/>
      <c r="F924" s="36"/>
      <c r="G924" s="38"/>
      <c r="H924" s="39"/>
      <c r="I924" s="36"/>
    </row>
    <row r="925" spans="1:9" ht="12.5">
      <c r="A925" s="35"/>
      <c r="B925" s="36"/>
      <c r="C925" s="36"/>
      <c r="D925" s="37"/>
      <c r="E925" s="36"/>
      <c r="F925" s="36"/>
      <c r="G925" s="38"/>
      <c r="H925" s="39"/>
      <c r="I925" s="36"/>
    </row>
    <row r="926" spans="1:9" ht="12.5">
      <c r="A926" s="35"/>
      <c r="B926" s="36"/>
      <c r="C926" s="36"/>
      <c r="D926" s="37"/>
      <c r="E926" s="36"/>
      <c r="F926" s="36"/>
      <c r="G926" s="38"/>
      <c r="H926" s="39"/>
      <c r="I926" s="36"/>
    </row>
    <row r="927" spans="1:9" ht="12.5">
      <c r="A927" s="35"/>
      <c r="B927" s="36"/>
      <c r="C927" s="36"/>
      <c r="D927" s="37"/>
      <c r="E927" s="36"/>
      <c r="F927" s="36"/>
      <c r="G927" s="38"/>
      <c r="H927" s="39"/>
      <c r="I927" s="36"/>
    </row>
    <row r="928" spans="1:9" ht="12.5">
      <c r="A928" s="35"/>
      <c r="B928" s="36"/>
      <c r="C928" s="36"/>
      <c r="D928" s="37"/>
      <c r="E928" s="36"/>
      <c r="F928" s="36"/>
      <c r="G928" s="38"/>
      <c r="H928" s="39"/>
      <c r="I928" s="36"/>
    </row>
    <row r="929" spans="1:9" ht="12.5">
      <c r="A929" s="35"/>
      <c r="B929" s="36"/>
      <c r="C929" s="36"/>
      <c r="D929" s="37"/>
      <c r="E929" s="36"/>
      <c r="F929" s="36"/>
      <c r="G929" s="38"/>
      <c r="H929" s="39"/>
      <c r="I929" s="36"/>
    </row>
    <row r="930" spans="1:9" ht="12.5">
      <c r="A930" s="35"/>
      <c r="B930" s="36"/>
      <c r="C930" s="36"/>
      <c r="D930" s="37"/>
      <c r="E930" s="36"/>
      <c r="F930" s="36"/>
      <c r="G930" s="38"/>
      <c r="H930" s="39"/>
      <c r="I930" s="36"/>
    </row>
    <row r="931" spans="1:9" ht="12.5">
      <c r="A931" s="35"/>
      <c r="B931" s="36"/>
      <c r="C931" s="36"/>
      <c r="D931" s="37"/>
      <c r="E931" s="36"/>
      <c r="F931" s="36"/>
      <c r="G931" s="38"/>
      <c r="H931" s="39"/>
      <c r="I931" s="36"/>
    </row>
    <row r="932" spans="1:9" ht="12.5">
      <c r="A932" s="35"/>
      <c r="B932" s="36"/>
      <c r="C932" s="36"/>
      <c r="D932" s="37"/>
      <c r="E932" s="36"/>
      <c r="F932" s="36"/>
      <c r="G932" s="38"/>
      <c r="H932" s="39"/>
      <c r="I932" s="36"/>
    </row>
    <row r="933" spans="1:9" ht="12.5">
      <c r="A933" s="35"/>
      <c r="B933" s="36"/>
      <c r="C933" s="36"/>
      <c r="D933" s="37"/>
      <c r="E933" s="36"/>
      <c r="F933" s="36"/>
      <c r="G933" s="38"/>
      <c r="H933" s="39"/>
      <c r="I933" s="36"/>
    </row>
    <row r="934" spans="1:9" ht="12.5">
      <c r="A934" s="35"/>
      <c r="B934" s="36"/>
      <c r="C934" s="36"/>
      <c r="D934" s="37"/>
      <c r="E934" s="36"/>
      <c r="F934" s="36"/>
      <c r="G934" s="38"/>
      <c r="H934" s="39"/>
      <c r="I934" s="36"/>
    </row>
    <row r="935" spans="1:9" ht="12.5">
      <c r="A935" s="35"/>
      <c r="B935" s="36"/>
      <c r="C935" s="36"/>
      <c r="D935" s="37"/>
      <c r="E935" s="36"/>
      <c r="F935" s="36"/>
      <c r="G935" s="38"/>
      <c r="H935" s="39"/>
      <c r="I935" s="36"/>
    </row>
    <row r="936" spans="1:9" ht="12.5">
      <c r="A936" s="35"/>
      <c r="B936" s="36"/>
      <c r="C936" s="36"/>
      <c r="D936" s="37"/>
      <c r="E936" s="36"/>
      <c r="F936" s="36"/>
      <c r="G936" s="38"/>
      <c r="H936" s="39"/>
      <c r="I936" s="36"/>
    </row>
    <row r="937" spans="1:9" ht="12.5">
      <c r="A937" s="35"/>
      <c r="B937" s="36"/>
      <c r="C937" s="36"/>
      <c r="D937" s="37"/>
      <c r="E937" s="36"/>
      <c r="F937" s="36"/>
      <c r="G937" s="38"/>
      <c r="H937" s="39"/>
      <c r="I937" s="36"/>
    </row>
    <row r="938" spans="1:9" ht="12.5">
      <c r="A938" s="35"/>
      <c r="B938" s="36"/>
      <c r="C938" s="36"/>
      <c r="D938" s="37"/>
      <c r="E938" s="36"/>
      <c r="F938" s="36"/>
      <c r="G938" s="38"/>
      <c r="H938" s="39"/>
      <c r="I938" s="36"/>
    </row>
    <row r="939" spans="1:9" ht="12.5">
      <c r="A939" s="35"/>
      <c r="B939" s="36"/>
      <c r="C939" s="36"/>
      <c r="D939" s="37"/>
      <c r="E939" s="36"/>
      <c r="F939" s="36"/>
      <c r="G939" s="38"/>
      <c r="H939" s="39"/>
      <c r="I939" s="36"/>
    </row>
    <row r="940" spans="1:9" ht="12.5">
      <c r="A940" s="35"/>
      <c r="B940" s="36"/>
      <c r="C940" s="36"/>
      <c r="D940" s="37"/>
      <c r="E940" s="36"/>
      <c r="F940" s="36"/>
      <c r="G940" s="38"/>
      <c r="H940" s="39"/>
      <c r="I940" s="36"/>
    </row>
    <row r="941" spans="1:9" ht="12.5">
      <c r="A941" s="35"/>
      <c r="B941" s="36"/>
      <c r="C941" s="36"/>
      <c r="D941" s="37"/>
      <c r="E941" s="36"/>
      <c r="F941" s="36"/>
      <c r="G941" s="38"/>
      <c r="H941" s="39"/>
      <c r="I941" s="36"/>
    </row>
    <row r="942" spans="1:9" ht="12.5">
      <c r="A942" s="35"/>
      <c r="B942" s="36"/>
      <c r="C942" s="36"/>
      <c r="D942" s="37"/>
      <c r="E942" s="36"/>
      <c r="F942" s="36"/>
      <c r="G942" s="38"/>
      <c r="H942" s="39"/>
      <c r="I942" s="36"/>
    </row>
    <row r="943" spans="1:9" ht="12.5">
      <c r="A943" s="35"/>
      <c r="B943" s="36"/>
      <c r="C943" s="36"/>
      <c r="D943" s="37"/>
      <c r="E943" s="36"/>
      <c r="F943" s="36"/>
      <c r="G943" s="38"/>
      <c r="H943" s="39"/>
      <c r="I943" s="36"/>
    </row>
    <row r="944" spans="1:9" ht="12.5">
      <c r="A944" s="35"/>
      <c r="B944" s="36"/>
      <c r="C944" s="36"/>
      <c r="D944" s="37"/>
      <c r="E944" s="36"/>
      <c r="F944" s="36"/>
      <c r="G944" s="38"/>
      <c r="H944" s="39"/>
      <c r="I944" s="36"/>
    </row>
    <row r="945" spans="1:9" ht="12.5">
      <c r="A945" s="35"/>
      <c r="B945" s="36"/>
      <c r="C945" s="36"/>
      <c r="D945" s="37"/>
      <c r="E945" s="36"/>
      <c r="F945" s="36"/>
      <c r="G945" s="38"/>
      <c r="H945" s="39"/>
      <c r="I945" s="36"/>
    </row>
    <row r="946" spans="1:9" ht="12.5">
      <c r="A946" s="35"/>
      <c r="B946" s="36"/>
      <c r="C946" s="36"/>
      <c r="D946" s="37"/>
      <c r="E946" s="36"/>
      <c r="F946" s="36"/>
      <c r="G946" s="38"/>
      <c r="H946" s="39"/>
      <c r="I946" s="36"/>
    </row>
    <row r="947" spans="1:9" ht="12.5">
      <c r="A947" s="35"/>
      <c r="B947" s="36"/>
      <c r="C947" s="36"/>
      <c r="D947" s="37"/>
      <c r="E947" s="36"/>
      <c r="F947" s="36"/>
      <c r="G947" s="38"/>
      <c r="H947" s="39"/>
      <c r="I947" s="36"/>
    </row>
    <row r="948" spans="1:9" ht="12.5">
      <c r="A948" s="35"/>
      <c r="B948" s="36"/>
      <c r="C948" s="36"/>
      <c r="D948" s="37"/>
      <c r="E948" s="36"/>
      <c r="F948" s="36"/>
      <c r="G948" s="38"/>
      <c r="H948" s="39"/>
      <c r="I948" s="36"/>
    </row>
    <row r="949" spans="1:9" ht="12.5">
      <c r="A949" s="35"/>
      <c r="B949" s="36"/>
      <c r="C949" s="36"/>
      <c r="D949" s="37"/>
      <c r="E949" s="36"/>
      <c r="F949" s="36"/>
      <c r="G949" s="38"/>
      <c r="H949" s="39"/>
      <c r="I949" s="36"/>
    </row>
    <row r="950" spans="1:9" ht="12.5">
      <c r="A950" s="35"/>
      <c r="B950" s="36"/>
      <c r="C950" s="36"/>
      <c r="D950" s="37"/>
      <c r="E950" s="36"/>
      <c r="F950" s="36"/>
      <c r="G950" s="38"/>
      <c r="H950" s="39"/>
      <c r="I950" s="36"/>
    </row>
    <row r="951" spans="1:9" ht="12.5">
      <c r="A951" s="35"/>
      <c r="B951" s="36"/>
      <c r="C951" s="36"/>
      <c r="D951" s="37"/>
      <c r="E951" s="36"/>
      <c r="F951" s="36"/>
      <c r="G951" s="38"/>
      <c r="H951" s="39"/>
      <c r="I951" s="36"/>
    </row>
    <row r="952" spans="1:9" ht="12.5">
      <c r="A952" s="35"/>
      <c r="B952" s="36"/>
      <c r="C952" s="36"/>
      <c r="D952" s="37"/>
      <c r="E952" s="36"/>
      <c r="F952" s="36"/>
      <c r="G952" s="38"/>
      <c r="H952" s="39"/>
      <c r="I952" s="36"/>
    </row>
    <row r="953" spans="1:9" ht="12.5">
      <c r="A953" s="35"/>
      <c r="B953" s="36"/>
      <c r="C953" s="36"/>
      <c r="D953" s="37"/>
      <c r="E953" s="36"/>
      <c r="F953" s="36"/>
      <c r="G953" s="38"/>
      <c r="H953" s="39"/>
      <c r="I953" s="36"/>
    </row>
    <row r="954" spans="1:9" ht="12.5">
      <c r="A954" s="35"/>
      <c r="B954" s="36"/>
      <c r="C954" s="36"/>
      <c r="D954" s="37"/>
      <c r="E954" s="36"/>
      <c r="F954" s="36"/>
      <c r="G954" s="38"/>
      <c r="H954" s="39"/>
      <c r="I954" s="36"/>
    </row>
    <row r="955" spans="1:9" ht="12.5">
      <c r="A955" s="35"/>
      <c r="B955" s="36"/>
      <c r="C955" s="36"/>
      <c r="D955" s="37"/>
      <c r="E955" s="36"/>
      <c r="F955" s="36"/>
      <c r="G955" s="38"/>
      <c r="H955" s="39"/>
      <c r="I955" s="36"/>
    </row>
    <row r="956" spans="1:9" ht="12.5">
      <c r="A956" s="35"/>
      <c r="B956" s="36"/>
      <c r="C956" s="36"/>
      <c r="D956" s="37"/>
      <c r="E956" s="36"/>
      <c r="F956" s="36"/>
      <c r="G956" s="38"/>
      <c r="H956" s="39"/>
      <c r="I956" s="36"/>
    </row>
    <row r="957" spans="1:9" ht="12.5">
      <c r="A957" s="35"/>
      <c r="B957" s="36"/>
      <c r="C957" s="36"/>
      <c r="D957" s="37"/>
      <c r="E957" s="36"/>
      <c r="F957" s="36"/>
      <c r="G957" s="38"/>
      <c r="H957" s="39"/>
      <c r="I957" s="36"/>
    </row>
    <row r="958" spans="1:9" ht="12.5">
      <c r="A958" s="35"/>
      <c r="B958" s="36"/>
      <c r="C958" s="36"/>
      <c r="D958" s="37"/>
      <c r="E958" s="36"/>
      <c r="F958" s="36"/>
      <c r="G958" s="38"/>
      <c r="H958" s="39"/>
      <c r="I958" s="36"/>
    </row>
    <row r="959" spans="1:9" ht="12.5">
      <c r="A959" s="35"/>
      <c r="B959" s="36"/>
      <c r="C959" s="36"/>
      <c r="D959" s="37"/>
      <c r="E959" s="36"/>
      <c r="F959" s="36"/>
      <c r="G959" s="38"/>
      <c r="H959" s="39"/>
      <c r="I959" s="36"/>
    </row>
    <row r="960" spans="1:9" ht="12.5">
      <c r="A960" s="35"/>
      <c r="B960" s="36"/>
      <c r="C960" s="36"/>
      <c r="D960" s="37"/>
      <c r="E960" s="36"/>
      <c r="F960" s="36"/>
      <c r="G960" s="38"/>
      <c r="H960" s="39"/>
      <c r="I960" s="36"/>
    </row>
    <row r="961" spans="1:9" ht="12.5">
      <c r="A961" s="35"/>
      <c r="B961" s="36"/>
      <c r="C961" s="36"/>
      <c r="D961" s="37"/>
      <c r="E961" s="36"/>
      <c r="F961" s="36"/>
      <c r="G961" s="38"/>
      <c r="H961" s="39"/>
      <c r="I961" s="36"/>
    </row>
    <row r="962" spans="1:9" ht="12.5">
      <c r="A962" s="35"/>
      <c r="B962" s="36"/>
      <c r="C962" s="36"/>
      <c r="D962" s="37"/>
      <c r="E962" s="36"/>
      <c r="F962" s="36"/>
      <c r="G962" s="38"/>
      <c r="H962" s="39"/>
      <c r="I962" s="36"/>
    </row>
    <row r="963" spans="1:9" ht="12.5">
      <c r="A963" s="35"/>
      <c r="B963" s="36"/>
      <c r="C963" s="36"/>
      <c r="D963" s="37"/>
      <c r="E963" s="36"/>
      <c r="F963" s="36"/>
      <c r="G963" s="38"/>
      <c r="H963" s="39"/>
      <c r="I963" s="36"/>
    </row>
    <row r="964" spans="1:9" ht="12.5">
      <c r="A964" s="35"/>
      <c r="B964" s="36"/>
      <c r="C964" s="36"/>
      <c r="D964" s="37"/>
      <c r="E964" s="36"/>
      <c r="F964" s="36"/>
      <c r="G964" s="38"/>
      <c r="H964" s="39"/>
      <c r="I964" s="36"/>
    </row>
    <row r="965" spans="1:9" ht="12.5">
      <c r="A965" s="35"/>
      <c r="B965" s="36"/>
      <c r="C965" s="36"/>
      <c r="D965" s="37"/>
      <c r="E965" s="36"/>
      <c r="F965" s="36"/>
      <c r="G965" s="38"/>
      <c r="H965" s="39"/>
      <c r="I965" s="36"/>
    </row>
    <row r="966" spans="1:9" ht="12.5">
      <c r="A966" s="35"/>
      <c r="B966" s="36"/>
      <c r="C966" s="36"/>
      <c r="D966" s="37"/>
      <c r="E966" s="36"/>
      <c r="F966" s="36"/>
      <c r="G966" s="38"/>
      <c r="H966" s="39"/>
      <c r="I966" s="36"/>
    </row>
    <row r="967" spans="1:9" ht="12.5">
      <c r="A967" s="35"/>
      <c r="B967" s="36"/>
      <c r="C967" s="36"/>
      <c r="D967" s="37"/>
      <c r="E967" s="36"/>
      <c r="F967" s="36"/>
      <c r="G967" s="38"/>
      <c r="H967" s="39"/>
      <c r="I967" s="36"/>
    </row>
    <row r="968" spans="1:9" ht="12.5">
      <c r="A968" s="35"/>
      <c r="B968" s="36"/>
      <c r="C968" s="36"/>
      <c r="D968" s="37"/>
      <c r="E968" s="36"/>
      <c r="F968" s="36"/>
      <c r="G968" s="38"/>
      <c r="H968" s="39"/>
      <c r="I968" s="36"/>
    </row>
    <row r="969" spans="1:9" ht="12.5">
      <c r="A969" s="35"/>
      <c r="B969" s="36"/>
      <c r="C969" s="36"/>
      <c r="D969" s="37"/>
      <c r="E969" s="36"/>
      <c r="F969" s="36"/>
      <c r="G969" s="38"/>
      <c r="H969" s="39"/>
      <c r="I969" s="36"/>
    </row>
    <row r="970" spans="1:9" ht="12.5">
      <c r="A970" s="35"/>
      <c r="B970" s="36"/>
      <c r="C970" s="36"/>
      <c r="D970" s="37"/>
      <c r="E970" s="36"/>
      <c r="F970" s="36"/>
      <c r="G970" s="38"/>
      <c r="H970" s="39"/>
      <c r="I970" s="36"/>
    </row>
    <row r="971" spans="1:9" ht="12.5">
      <c r="A971" s="35"/>
      <c r="B971" s="36"/>
      <c r="C971" s="36"/>
      <c r="D971" s="37"/>
      <c r="E971" s="36"/>
      <c r="F971" s="36"/>
      <c r="G971" s="38"/>
      <c r="H971" s="39"/>
      <c r="I971" s="36"/>
    </row>
    <row r="972" spans="1:9" ht="12.5">
      <c r="A972" s="35"/>
      <c r="B972" s="36"/>
      <c r="C972" s="36"/>
      <c r="D972" s="37"/>
      <c r="E972" s="36"/>
      <c r="F972" s="36"/>
      <c r="G972" s="38"/>
      <c r="H972" s="39"/>
      <c r="I972" s="36"/>
    </row>
    <row r="973" spans="1:9" ht="12.5">
      <c r="A973" s="35"/>
      <c r="B973" s="36"/>
      <c r="C973" s="36"/>
      <c r="D973" s="37"/>
      <c r="E973" s="36"/>
      <c r="F973" s="36"/>
      <c r="G973" s="38"/>
      <c r="H973" s="39"/>
      <c r="I973" s="36"/>
    </row>
    <row r="974" spans="1:9" ht="12.5">
      <c r="A974" s="35"/>
      <c r="B974" s="36"/>
      <c r="C974" s="36"/>
      <c r="D974" s="37"/>
      <c r="E974" s="36"/>
      <c r="F974" s="36"/>
      <c r="G974" s="38"/>
      <c r="H974" s="39"/>
      <c r="I974" s="36"/>
    </row>
    <row r="975" spans="1:9" ht="12.5">
      <c r="A975" s="35"/>
      <c r="B975" s="36"/>
      <c r="C975" s="36"/>
      <c r="D975" s="37"/>
      <c r="E975" s="36"/>
      <c r="F975" s="36"/>
      <c r="G975" s="38"/>
      <c r="H975" s="39"/>
      <c r="I975" s="36"/>
    </row>
    <row r="976" spans="1:9" ht="12.5">
      <c r="A976" s="35"/>
      <c r="B976" s="36"/>
      <c r="C976" s="36"/>
      <c r="D976" s="37"/>
      <c r="E976" s="36"/>
      <c r="F976" s="36"/>
      <c r="G976" s="38"/>
      <c r="H976" s="39"/>
      <c r="I976" s="36"/>
    </row>
    <row r="977" spans="1:9" ht="12.5">
      <c r="A977" s="35"/>
      <c r="B977" s="36"/>
      <c r="C977" s="36"/>
      <c r="D977" s="37"/>
      <c r="E977" s="36"/>
      <c r="F977" s="36"/>
      <c r="G977" s="38"/>
      <c r="H977" s="39"/>
      <c r="I977" s="36"/>
    </row>
    <row r="978" spans="1:9" ht="12.5">
      <c r="A978" s="35"/>
      <c r="B978" s="36"/>
      <c r="C978" s="36"/>
      <c r="D978" s="37"/>
      <c r="E978" s="36"/>
      <c r="F978" s="36"/>
      <c r="G978" s="38"/>
      <c r="H978" s="39"/>
      <c r="I978" s="36"/>
    </row>
    <row r="979" spans="1:9" ht="12.5">
      <c r="A979" s="35"/>
      <c r="B979" s="36"/>
      <c r="C979" s="36"/>
      <c r="D979" s="37"/>
      <c r="E979" s="36"/>
      <c r="F979" s="36"/>
      <c r="G979" s="38"/>
      <c r="H979" s="39"/>
      <c r="I979" s="36"/>
    </row>
    <row r="980" spans="1:9" ht="12.5">
      <c r="A980" s="35"/>
      <c r="B980" s="36"/>
      <c r="C980" s="36"/>
      <c r="D980" s="37"/>
      <c r="E980" s="36"/>
      <c r="F980" s="36"/>
      <c r="G980" s="38"/>
      <c r="H980" s="39"/>
      <c r="I980" s="36"/>
    </row>
    <row r="981" spans="1:9" ht="12.5">
      <c r="A981" s="35"/>
      <c r="B981" s="36"/>
      <c r="C981" s="36"/>
      <c r="D981" s="37"/>
      <c r="E981" s="36"/>
      <c r="F981" s="36"/>
      <c r="G981" s="38"/>
      <c r="H981" s="39"/>
      <c r="I981" s="36"/>
    </row>
    <row r="982" spans="1:9" ht="12.5">
      <c r="A982" s="35"/>
      <c r="B982" s="36"/>
      <c r="C982" s="36"/>
      <c r="D982" s="37"/>
      <c r="E982" s="36"/>
      <c r="F982" s="36"/>
      <c r="G982" s="38"/>
      <c r="H982" s="39"/>
      <c r="I982" s="36"/>
    </row>
    <row r="983" spans="1:9" ht="12.5">
      <c r="A983" s="35"/>
      <c r="B983" s="36"/>
      <c r="C983" s="36"/>
      <c r="D983" s="37"/>
      <c r="E983" s="36"/>
      <c r="F983" s="36"/>
      <c r="G983" s="38"/>
      <c r="H983" s="39"/>
      <c r="I983" s="36"/>
    </row>
    <row r="984" spans="1:9" ht="12.5">
      <c r="A984" s="35"/>
      <c r="B984" s="36"/>
      <c r="C984" s="36"/>
      <c r="D984" s="37"/>
      <c r="E984" s="36"/>
      <c r="F984" s="36"/>
      <c r="G984" s="38"/>
      <c r="H984" s="39"/>
      <c r="I984" s="36"/>
    </row>
    <row r="985" spans="1:9" ht="12.5">
      <c r="A985" s="35"/>
      <c r="B985" s="36"/>
      <c r="C985" s="36"/>
      <c r="D985" s="37"/>
      <c r="E985" s="36"/>
      <c r="F985" s="36"/>
      <c r="G985" s="38"/>
      <c r="H985" s="39"/>
      <c r="I985" s="36"/>
    </row>
    <row r="986" spans="1:9" ht="12.5">
      <c r="A986" s="35"/>
      <c r="B986" s="36"/>
      <c r="C986" s="36"/>
      <c r="D986" s="37"/>
      <c r="E986" s="36"/>
      <c r="F986" s="36"/>
      <c r="G986" s="38"/>
      <c r="H986" s="39"/>
      <c r="I986" s="36"/>
    </row>
    <row r="987" spans="1:9" ht="12.5">
      <c r="A987" s="35"/>
      <c r="B987" s="36"/>
      <c r="C987" s="36"/>
      <c r="D987" s="37"/>
      <c r="E987" s="36"/>
      <c r="F987" s="36"/>
      <c r="G987" s="38"/>
      <c r="H987" s="39"/>
      <c r="I987" s="36"/>
    </row>
    <row r="988" spans="1:9" ht="12.5">
      <c r="A988" s="35"/>
      <c r="B988" s="36"/>
      <c r="C988" s="36"/>
      <c r="D988" s="37"/>
      <c r="E988" s="36"/>
      <c r="F988" s="36"/>
      <c r="G988" s="38"/>
      <c r="H988" s="39"/>
      <c r="I988" s="36"/>
    </row>
    <row r="989" spans="1:9" ht="12.5">
      <c r="A989" s="35"/>
      <c r="B989" s="36"/>
      <c r="C989" s="36"/>
      <c r="D989" s="37"/>
      <c r="E989" s="36"/>
      <c r="F989" s="36"/>
      <c r="G989" s="38"/>
      <c r="H989" s="39"/>
      <c r="I989" s="36"/>
    </row>
    <row r="990" spans="1:9" ht="12.5">
      <c r="A990" s="35"/>
      <c r="B990" s="36"/>
      <c r="C990" s="36"/>
      <c r="D990" s="37"/>
      <c r="E990" s="36"/>
      <c r="F990" s="36"/>
      <c r="G990" s="38"/>
      <c r="H990" s="39"/>
      <c r="I990" s="36"/>
    </row>
    <row r="991" spans="1:9" ht="12.5">
      <c r="A991" s="35"/>
      <c r="B991" s="36"/>
      <c r="C991" s="36"/>
      <c r="D991" s="37"/>
      <c r="E991" s="36"/>
      <c r="F991" s="36"/>
      <c r="G991" s="38"/>
      <c r="H991" s="39"/>
      <c r="I991" s="36"/>
    </row>
    <row r="992" spans="1:9" ht="12.5">
      <c r="A992" s="35"/>
      <c r="B992" s="36"/>
      <c r="C992" s="36"/>
      <c r="D992" s="37"/>
      <c r="E992" s="36"/>
      <c r="F992" s="36"/>
      <c r="G992" s="38"/>
      <c r="H992" s="39"/>
      <c r="I992" s="36"/>
    </row>
    <row r="993" spans="1:9" ht="12.5">
      <c r="A993" s="35"/>
      <c r="B993" s="36"/>
      <c r="C993" s="36"/>
      <c r="D993" s="37"/>
      <c r="E993" s="36"/>
      <c r="F993" s="36"/>
      <c r="G993" s="38"/>
      <c r="H993" s="39"/>
      <c r="I993" s="36"/>
    </row>
    <row r="994" spans="1:9" ht="12.5">
      <c r="A994" s="35"/>
      <c r="B994" s="36"/>
      <c r="C994" s="36"/>
      <c r="D994" s="37"/>
      <c r="E994" s="36"/>
      <c r="F994" s="36"/>
      <c r="G994" s="38"/>
      <c r="H994" s="39"/>
      <c r="I994" s="36"/>
    </row>
    <row r="995" spans="1:9" ht="12.5">
      <c r="A995" s="35"/>
      <c r="B995" s="36"/>
      <c r="C995" s="36"/>
      <c r="D995" s="37"/>
      <c r="E995" s="36"/>
      <c r="F995" s="36"/>
      <c r="G995" s="38"/>
      <c r="H995" s="39"/>
      <c r="I995" s="36"/>
    </row>
    <row r="996" spans="1:9" ht="12.5">
      <c r="A996" s="35"/>
      <c r="B996" s="36"/>
      <c r="C996" s="36"/>
      <c r="D996" s="37"/>
      <c r="E996" s="36"/>
      <c r="F996" s="36"/>
      <c r="G996" s="38"/>
      <c r="H996" s="39"/>
      <c r="I996" s="36"/>
    </row>
    <row r="997" spans="1:9" ht="12.5">
      <c r="A997" s="35"/>
      <c r="B997" s="36"/>
      <c r="C997" s="36"/>
      <c r="D997" s="37"/>
      <c r="E997" s="36"/>
      <c r="F997" s="36"/>
      <c r="G997" s="38"/>
      <c r="H997" s="39"/>
      <c r="I997" s="36"/>
    </row>
    <row r="998" spans="1:9" ht="12.5">
      <c r="A998" s="35"/>
      <c r="B998" s="36"/>
      <c r="C998" s="36"/>
      <c r="D998" s="37"/>
      <c r="E998" s="36"/>
      <c r="F998" s="36"/>
      <c r="G998" s="38"/>
      <c r="H998" s="39"/>
      <c r="I998" s="36"/>
    </row>
    <row r="999" spans="1:9" ht="12.5">
      <c r="A999" s="35"/>
      <c r="B999" s="36"/>
      <c r="C999" s="36"/>
      <c r="D999" s="37"/>
      <c r="E999" s="36"/>
      <c r="F999" s="36"/>
      <c r="G999" s="38"/>
      <c r="H999" s="39"/>
      <c r="I999" s="36"/>
    </row>
    <row r="1000" spans="1:9" ht="12.5">
      <c r="A1000" s="35"/>
      <c r="B1000" s="36"/>
      <c r="C1000" s="36"/>
      <c r="D1000" s="37"/>
      <c r="E1000" s="36"/>
      <c r="F1000" s="36"/>
      <c r="G1000" s="38"/>
      <c r="H1000" s="39"/>
      <c r="I1000" s="36"/>
    </row>
    <row r="1001" spans="1:9" ht="12.5">
      <c r="A1001" s="35"/>
      <c r="B1001" s="36"/>
      <c r="C1001" s="36"/>
      <c r="D1001" s="37"/>
      <c r="E1001" s="36"/>
      <c r="F1001" s="36"/>
      <c r="G1001" s="38"/>
      <c r="H1001" s="39"/>
      <c r="I1001" s="36"/>
    </row>
    <row r="1002" spans="1:9" ht="12.5">
      <c r="A1002" s="35"/>
      <c r="B1002" s="36"/>
      <c r="C1002" s="36"/>
      <c r="D1002" s="37"/>
      <c r="E1002" s="36"/>
      <c r="F1002" s="36"/>
      <c r="G1002" s="38"/>
      <c r="H1002" s="39"/>
      <c r="I1002" s="36"/>
    </row>
    <row r="1003" spans="1:9" ht="12.5">
      <c r="A1003" s="35"/>
      <c r="B1003" s="36"/>
      <c r="C1003" s="36"/>
      <c r="D1003" s="37"/>
      <c r="E1003" s="36"/>
      <c r="F1003" s="36"/>
      <c r="G1003" s="38"/>
      <c r="H1003" s="39"/>
      <c r="I1003" s="36"/>
    </row>
  </sheetData>
  <autoFilter ref="A4:I1003" xr:uid="{00000000-0009-0000-0000-000003000000}">
    <sortState xmlns:xlrd2="http://schemas.microsoft.com/office/spreadsheetml/2017/richdata2" ref="A4:I1003">
      <sortCondition ref="B4:B1003"/>
      <sortCondition ref="C4:C1003"/>
      <sortCondition ref="D4:D1003"/>
    </sortState>
  </autoFilter>
  <mergeCells count="3">
    <mergeCell ref="D1:G1"/>
    <mergeCell ref="B2:I2"/>
    <mergeCell ref="B3:I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806"/>
  <sheetViews>
    <sheetView showGridLines="0" topLeftCell="C1" workbookViewId="0">
      <pane ySplit="4" topLeftCell="A954" activePane="bottomLeft" state="frozen"/>
      <selection pane="bottomLeft" activeCell="E955" sqref="E955"/>
    </sheetView>
  </sheetViews>
  <sheetFormatPr defaultColWidth="14.453125" defaultRowHeight="15.75" customHeight="1"/>
  <cols>
    <col min="1" max="1" width="14.453125" customWidth="1"/>
    <col min="2" max="2" width="29.54296875" customWidth="1"/>
    <col min="3" max="3" width="30.54296875" customWidth="1"/>
    <col min="4" max="4" width="67.54296875" customWidth="1"/>
    <col min="5" max="5" width="68" customWidth="1"/>
    <col min="6" max="6" width="26.26953125" customWidth="1"/>
    <col min="7" max="7" width="16.54296875" customWidth="1"/>
    <col min="8" max="8" width="15.81640625" customWidth="1"/>
    <col min="9" max="9" width="20.1796875" customWidth="1"/>
  </cols>
  <sheetData>
    <row r="1" spans="1:9" ht="45" customHeight="1">
      <c r="A1" s="1"/>
      <c r="B1" s="1"/>
      <c r="C1" s="1"/>
      <c r="D1" s="64" t="s">
        <v>0</v>
      </c>
      <c r="E1" s="65"/>
      <c r="F1" s="65"/>
      <c r="G1" s="65"/>
      <c r="H1" s="1"/>
      <c r="I1" s="1"/>
    </row>
    <row r="2" spans="1:9" ht="20.25" customHeight="1">
      <c r="A2" s="2"/>
      <c r="B2" s="66" t="s">
        <v>4909</v>
      </c>
      <c r="C2" s="65"/>
      <c r="D2" s="65"/>
      <c r="E2" s="65"/>
      <c r="F2" s="65"/>
      <c r="G2" s="65"/>
      <c r="H2" s="65"/>
      <c r="I2" s="65"/>
    </row>
    <row r="3" spans="1:9" ht="20.25" customHeight="1">
      <c r="A3" s="3"/>
      <c r="B3" s="67" t="s">
        <v>4910</v>
      </c>
      <c r="C3" s="65"/>
      <c r="D3" s="65"/>
      <c r="E3" s="65"/>
      <c r="F3" s="65"/>
      <c r="G3" s="65"/>
      <c r="H3" s="65"/>
      <c r="I3" s="65"/>
    </row>
    <row r="4" spans="1:9" ht="13">
      <c r="A4" s="4" t="s">
        <v>3</v>
      </c>
      <c r="B4" s="4" t="s">
        <v>4</v>
      </c>
      <c r="C4" s="4" t="s">
        <v>5</v>
      </c>
      <c r="D4" s="4" t="s">
        <v>6</v>
      </c>
      <c r="E4" s="4" t="s">
        <v>7</v>
      </c>
      <c r="F4" s="7" t="s">
        <v>8</v>
      </c>
      <c r="G4" s="6" t="s">
        <v>9</v>
      </c>
      <c r="H4" s="40" t="s">
        <v>10</v>
      </c>
      <c r="I4" s="7" t="s">
        <v>11</v>
      </c>
    </row>
    <row r="5" spans="1:9" ht="12.5">
      <c r="A5" s="41">
        <v>3454100</v>
      </c>
      <c r="B5" s="42" t="s">
        <v>12</v>
      </c>
      <c r="C5" s="43" t="s">
        <v>24</v>
      </c>
      <c r="D5" s="43" t="s">
        <v>4911</v>
      </c>
      <c r="E5" s="44" t="str">
        <f ca="1">IFERROR(__xludf.DUMMYFUNCTION("GOOGLETRANSLATE(D5)"),"Reference Guide: AZ-900 | laboratories | questionnaires")</f>
        <v>Reference Guide: AZ-900 | laboratories | questionnaires</v>
      </c>
      <c r="F5" s="36" t="s">
        <v>4912</v>
      </c>
      <c r="G5" s="45">
        <v>4.4434322999999996</v>
      </c>
      <c r="H5" s="45">
        <v>6.6505549999999998</v>
      </c>
      <c r="I5" s="46" t="s">
        <v>17</v>
      </c>
    </row>
    <row r="6" spans="1:9" ht="12.5">
      <c r="A6" s="47">
        <v>1657034</v>
      </c>
      <c r="B6" s="36" t="s">
        <v>12</v>
      </c>
      <c r="C6" s="36" t="s">
        <v>24</v>
      </c>
      <c r="D6" s="36" t="s">
        <v>4913</v>
      </c>
      <c r="E6" s="48" t="str">
        <f ca="1">IFERROR(__xludf.DUMMYFUNCTION("GOOGLETRANSLATE(D6)"),"Definitive Guide: 70-532 Developing Microsoft Azure Solutions")</f>
        <v>Definitive Guide: 70-532 Developing Microsoft Azure Solutions</v>
      </c>
      <c r="F6" s="36" t="s">
        <v>4912</v>
      </c>
      <c r="G6" s="45">
        <v>4.664002</v>
      </c>
      <c r="H6" s="45">
        <v>12.457777</v>
      </c>
      <c r="I6" s="36" t="s">
        <v>17</v>
      </c>
    </row>
    <row r="7" spans="1:9" ht="12.5">
      <c r="A7" s="47">
        <v>3396392</v>
      </c>
      <c r="B7" s="36" t="s">
        <v>12</v>
      </c>
      <c r="C7" s="36" t="s">
        <v>24</v>
      </c>
      <c r="D7" s="36" t="s">
        <v>4914</v>
      </c>
      <c r="E7" s="48" t="str">
        <f ca="1">IFERROR(__xludf.DUMMYFUNCTION("GOOGLETRANSLATE(D7)"),"Microsoft Azure Fundamentals Course AZ-900 - In Spanish 2020")</f>
        <v>Microsoft Azure Fundamentals Course AZ-900 - In Spanish 2020</v>
      </c>
      <c r="F7" s="36" t="s">
        <v>4915</v>
      </c>
      <c r="G7" s="45">
        <v>4.4679929999999999</v>
      </c>
      <c r="H7" s="45">
        <v>10.102499999999999</v>
      </c>
      <c r="I7" s="36" t="s">
        <v>21</v>
      </c>
    </row>
    <row r="8" spans="1:9" ht="12.5">
      <c r="A8" s="41">
        <v>3524966</v>
      </c>
      <c r="B8" s="36" t="s">
        <v>12</v>
      </c>
      <c r="C8" s="36" t="s">
        <v>24</v>
      </c>
      <c r="D8" s="43" t="s">
        <v>4916</v>
      </c>
      <c r="E8" s="44" t="str">
        <f ca="1">IFERROR(__xludf.DUMMYFUNCTION("GOOGLETRANSLATE(D8)"),"Azure Administrator - AZ 104 - In Spanish - Updated 2020")</f>
        <v>Azure Administrator - AZ 104 - In Spanish - Updated 2020</v>
      </c>
      <c r="F8" s="36" t="s">
        <v>4915</v>
      </c>
      <c r="G8" s="45">
        <v>4.3168344000000003</v>
      </c>
      <c r="H8" s="45">
        <v>16.523610999999999</v>
      </c>
      <c r="I8" s="36" t="s">
        <v>21</v>
      </c>
    </row>
    <row r="9" spans="1:9" ht="12.5">
      <c r="A9" s="41">
        <v>2376688</v>
      </c>
      <c r="B9" s="36" t="s">
        <v>12</v>
      </c>
      <c r="C9" s="36" t="s">
        <v>2319</v>
      </c>
      <c r="D9" s="43" t="s">
        <v>4917</v>
      </c>
      <c r="E9" s="44" t="str">
        <f ca="1">IFERROR(__xludf.DUMMYFUNCTION("GOOGLETRANSLATE(D9)"),"Microservicios con Spring Boot y Spring Cloud Netflix Eureka")</f>
        <v>Microservicios con Spring Boot y Spring Cloud Netflix Eureka</v>
      </c>
      <c r="F9" s="36" t="s">
        <v>4918</v>
      </c>
      <c r="G9" s="45">
        <v>4.7513404000000001</v>
      </c>
      <c r="H9" s="45">
        <v>13.385277</v>
      </c>
      <c r="I9" s="36" t="s">
        <v>21</v>
      </c>
    </row>
    <row r="10" spans="1:9" ht="12.5">
      <c r="A10" s="47">
        <v>1886100</v>
      </c>
      <c r="B10" s="36" t="s">
        <v>12</v>
      </c>
      <c r="C10" s="36" t="s">
        <v>2319</v>
      </c>
      <c r="D10" s="36" t="s">
        <v>4919</v>
      </c>
      <c r="E10" s="48" t="str">
        <f ca="1">IFERROR(__xludf.DUMMYFUNCTION("GOOGLETRANSLATE(D10)"),"Course Introduction to Amazon Web Services (AWS) from scratch")</f>
        <v>Course Introduction to Amazon Web Services (AWS) from scratch</v>
      </c>
      <c r="F10" s="36" t="s">
        <v>4920</v>
      </c>
      <c r="G10" s="45">
        <v>4.4453696999999996</v>
      </c>
      <c r="H10" s="45">
        <v>8.9072220000000009</v>
      </c>
      <c r="I10" s="36" t="s">
        <v>21</v>
      </c>
    </row>
    <row r="11" spans="1:9" ht="12.5">
      <c r="A11" s="47">
        <v>1779670</v>
      </c>
      <c r="B11" s="36" t="s">
        <v>12</v>
      </c>
      <c r="C11" s="36" t="s">
        <v>2319</v>
      </c>
      <c r="D11" s="36" t="s">
        <v>4921</v>
      </c>
      <c r="E11" s="48" t="str">
        <f ca="1">IFERROR(__xludf.DUMMYFUNCTION("GOOGLETRANSLATE(D11)"),"Serverless in Spanish with AWS and serverless Framework")</f>
        <v>Serverless in Spanish with AWS and serverless Framework</v>
      </c>
      <c r="F11" s="36" t="s">
        <v>4922</v>
      </c>
      <c r="G11" s="45">
        <v>4.3268576000000003</v>
      </c>
      <c r="H11" s="45">
        <v>2.2536109999999998</v>
      </c>
      <c r="I11" s="36" t="s">
        <v>17</v>
      </c>
    </row>
    <row r="12" spans="1:9" ht="12.5">
      <c r="A12" s="41">
        <v>1903626</v>
      </c>
      <c r="B12" s="36" t="s">
        <v>12</v>
      </c>
      <c r="C12" s="36" t="s">
        <v>2319</v>
      </c>
      <c r="D12" s="43" t="s">
        <v>4923</v>
      </c>
      <c r="E12" s="44" t="str">
        <f ca="1">IFERROR(__xludf.DUMMYFUNCTION("GOOGLETRANSLATE(D12)"),"Introduction to Serverless, lambdas and Api Gateway with AWS")</f>
        <v>Introduction to Serverless, lambdas and Api Gateway with AWS</v>
      </c>
      <c r="F12" s="36" t="s">
        <v>4924</v>
      </c>
      <c r="G12" s="45">
        <v>4.4686300000000001</v>
      </c>
      <c r="H12" s="45">
        <v>3.4886110000000001</v>
      </c>
      <c r="I12" s="36" t="s">
        <v>259</v>
      </c>
    </row>
    <row r="13" spans="1:9" ht="12.5">
      <c r="A13" s="47">
        <v>1428636</v>
      </c>
      <c r="B13" s="36" t="s">
        <v>12</v>
      </c>
      <c r="C13" s="36" t="s">
        <v>2319</v>
      </c>
      <c r="D13" s="36" t="s">
        <v>4925</v>
      </c>
      <c r="E13" s="48" t="str">
        <f ca="1">IFERROR(__xludf.DUMMYFUNCTION("GOOGLETRANSLATE(D13)"),"Full course OpenStack: Beginner to advanced")</f>
        <v>Full course OpenStack: Beginner to advanced</v>
      </c>
      <c r="F13" s="36" t="s">
        <v>4920</v>
      </c>
      <c r="G13" s="45">
        <v>4.421405</v>
      </c>
      <c r="H13" s="45">
        <v>5.453055</v>
      </c>
      <c r="I13" s="36" t="s">
        <v>21</v>
      </c>
    </row>
    <row r="14" spans="1:9" ht="12.5">
      <c r="A14" s="41">
        <v>2153962</v>
      </c>
      <c r="B14" s="42" t="s">
        <v>12</v>
      </c>
      <c r="C14" s="43" t="s">
        <v>2319</v>
      </c>
      <c r="D14" s="36" t="s">
        <v>4926</v>
      </c>
      <c r="E14" s="48" t="str">
        <f ca="1">IFERROR(__xludf.DUMMYFUNCTION("GOOGLETRANSLATE(D14)"),"Microsoft Azure servers (using IaaS)")</f>
        <v>Microsoft Azure servers (using IaaS)</v>
      </c>
      <c r="F14" s="36" t="s">
        <v>4927</v>
      </c>
      <c r="G14" s="45">
        <v>4.8811590000000002</v>
      </c>
      <c r="H14" s="45">
        <v>8.966666</v>
      </c>
      <c r="I14" s="46" t="s">
        <v>17</v>
      </c>
    </row>
    <row r="15" spans="1:9" ht="12.5">
      <c r="A15" s="41">
        <v>2316054</v>
      </c>
      <c r="B15" s="42" t="s">
        <v>12</v>
      </c>
      <c r="C15" s="43" t="s">
        <v>13</v>
      </c>
      <c r="D15" s="36" t="s">
        <v>4928</v>
      </c>
      <c r="E15" s="48" t="str">
        <f ca="1">IFERROR(__xludf.DUMMYFUNCTION("GOOGLETRANSLATE(D15)"),"Amazon AWS. Basic course of Amazon AWS. Learn from scratch")</f>
        <v>Amazon AWS. Basic course of Amazon AWS. Learn from scratch</v>
      </c>
      <c r="F15" s="36" t="s">
        <v>4929</v>
      </c>
      <c r="G15" s="45">
        <v>4.4161196</v>
      </c>
      <c r="H15" s="45">
        <v>8.9686109999999992</v>
      </c>
      <c r="I15" s="46" t="s">
        <v>17</v>
      </c>
    </row>
    <row r="16" spans="1:9" ht="12.5">
      <c r="A16" s="41">
        <v>1531520</v>
      </c>
      <c r="B16" s="42" t="s">
        <v>12</v>
      </c>
      <c r="C16" s="43" t="s">
        <v>13</v>
      </c>
      <c r="D16" s="36" t="s">
        <v>4930</v>
      </c>
      <c r="E16" s="48" t="str">
        <f ca="1">IFERROR(__xludf.DUMMYFUNCTION("GOOGLETRANSLATE(D16)"),"Implementing solutions in Microsoft Azure")</f>
        <v>Implementing solutions in Microsoft Azure</v>
      </c>
      <c r="F16" s="36" t="s">
        <v>4931</v>
      </c>
      <c r="G16" s="45">
        <v>4.4073577000000004</v>
      </c>
      <c r="H16" s="45">
        <v>24.921665000000001</v>
      </c>
      <c r="I16" s="46" t="s">
        <v>21</v>
      </c>
    </row>
    <row r="17" spans="1:9" ht="12.5">
      <c r="A17" s="47">
        <v>2178672</v>
      </c>
      <c r="B17" s="36" t="s">
        <v>31</v>
      </c>
      <c r="C17" s="36" t="s">
        <v>37</v>
      </c>
      <c r="D17" s="36" t="s">
        <v>4932</v>
      </c>
      <c r="E17" s="48" t="str">
        <f ca="1">IFERROR(__xludf.DUMMYFUNCTION("GOOGLETRANSLATE(D17)"),"Power Course BI - Data Analysis and Business Intelligence")</f>
        <v>Power Course BI - Data Analysis and Business Intelligence</v>
      </c>
      <c r="F17" s="36" t="s">
        <v>4933</v>
      </c>
      <c r="G17" s="45">
        <v>4.6116580000000003</v>
      </c>
      <c r="H17" s="45">
        <v>24.196667000000001</v>
      </c>
      <c r="I17" s="46" t="s">
        <v>21</v>
      </c>
    </row>
    <row r="18" spans="1:9" ht="12.5">
      <c r="A18" s="41">
        <v>2137076</v>
      </c>
      <c r="B18" s="42" t="s">
        <v>31</v>
      </c>
      <c r="C18" s="43" t="s">
        <v>37</v>
      </c>
      <c r="D18" s="43" t="s">
        <v>4934</v>
      </c>
      <c r="E18" s="44" t="str">
        <f ca="1">IFERROR(__xludf.DUMMYFUNCTION("GOOGLETRANSLATE(D18)"),"SQL. SQL full course. Learn from scratch. SQL commands")</f>
        <v>SQL. SQL full course. Learn from scratch. SQL commands</v>
      </c>
      <c r="F18" s="36" t="s">
        <v>4929</v>
      </c>
      <c r="G18" s="45">
        <v>4.2609139999999996</v>
      </c>
      <c r="H18" s="45">
        <v>2.4158330000000001</v>
      </c>
      <c r="I18" s="46" t="s">
        <v>21</v>
      </c>
    </row>
    <row r="19" spans="1:9" ht="12.5">
      <c r="A19" s="41">
        <v>2643064</v>
      </c>
      <c r="B19" s="36" t="s">
        <v>31</v>
      </c>
      <c r="C19" s="36" t="s">
        <v>37</v>
      </c>
      <c r="D19" s="36" t="s">
        <v>4935</v>
      </c>
      <c r="E19" s="48" t="str">
        <f ca="1">IFERROR(__xludf.DUMMYFUNCTION("GOOGLETRANSLATE(D19)"),"complete training in Data Science with Python 2020")</f>
        <v>complete training in Data Science with Python 2020</v>
      </c>
      <c r="F19" s="36" t="s">
        <v>1156</v>
      </c>
      <c r="G19" s="45">
        <v>4.4838176000000001</v>
      </c>
      <c r="H19" s="45">
        <v>16.331388</v>
      </c>
      <c r="I19" s="46" t="s">
        <v>21</v>
      </c>
    </row>
    <row r="20" spans="1:9" ht="12.5">
      <c r="A20" s="41">
        <v>1656124</v>
      </c>
      <c r="B20" s="42" t="s">
        <v>31</v>
      </c>
      <c r="C20" s="43" t="s">
        <v>37</v>
      </c>
      <c r="D20" s="36" t="s">
        <v>4936</v>
      </c>
      <c r="E20" s="48" t="str">
        <f ca="1">IFERROR(__xludf.DUMMYFUNCTION("GOOGLETRANSLATE(D20)"),"Master Power BI soon - Desktop, Mobile and Cloud")</f>
        <v>Master Power BI soon - Desktop, Mobile and Cloud</v>
      </c>
      <c r="F20" s="36" t="s">
        <v>4937</v>
      </c>
      <c r="G20" s="45">
        <v>4.3980379999999997</v>
      </c>
      <c r="H20" s="45">
        <v>3.4611109999999998</v>
      </c>
      <c r="I20" s="46" t="s">
        <v>21</v>
      </c>
    </row>
    <row r="21" spans="1:9" ht="12.5">
      <c r="A21" s="41">
        <v>1183964</v>
      </c>
      <c r="B21" s="36" t="s">
        <v>31</v>
      </c>
      <c r="C21" s="36" t="s">
        <v>37</v>
      </c>
      <c r="D21" s="43" t="s">
        <v>4938</v>
      </c>
      <c r="E21" s="44" t="str">
        <f ca="1">IFERROR(__xludf.DUMMYFUNCTION("GOOGLETRANSLATE(D21)"),"Data Analysis and Visualization with Power BI")</f>
        <v>Data Analysis and Visualization with Power BI</v>
      </c>
      <c r="F21" s="36" t="s">
        <v>4939</v>
      </c>
      <c r="G21" s="45">
        <v>4.4107212999999996</v>
      </c>
      <c r="H21" s="45">
        <v>2.7277770000000001</v>
      </c>
      <c r="I21" s="46" t="s">
        <v>21</v>
      </c>
    </row>
    <row r="22" spans="1:9" ht="12.5">
      <c r="A22" s="41">
        <v>634930</v>
      </c>
      <c r="B22" s="42" t="s">
        <v>31</v>
      </c>
      <c r="C22" s="43" t="s">
        <v>37</v>
      </c>
      <c r="D22" s="36" t="s">
        <v>4940</v>
      </c>
      <c r="E22" s="48" t="str">
        <f ca="1">IFERROR(__xludf.DUMMYFUNCTION("GOOGLETRANSLATE(D22)"),"SQL queries in Microsoft SQL Server Certification 70-761")</f>
        <v>SQL queries in Microsoft SQL Server Certification 70-761</v>
      </c>
      <c r="F22" s="36" t="s">
        <v>4941</v>
      </c>
      <c r="G22" s="45">
        <v>4.653073</v>
      </c>
      <c r="H22" s="45">
        <v>17.461387999999999</v>
      </c>
      <c r="I22" s="46" t="s">
        <v>17</v>
      </c>
    </row>
    <row r="23" spans="1:9" ht="12.5">
      <c r="A23" s="41">
        <v>1686432</v>
      </c>
      <c r="B23" s="42" t="s">
        <v>31</v>
      </c>
      <c r="C23" s="43" t="s">
        <v>37</v>
      </c>
      <c r="D23" s="43" t="s">
        <v>4942</v>
      </c>
      <c r="E23" s="44" t="str">
        <f ca="1">IFERROR(__xludf.DUMMYFUNCTION("GOOGLETRANSLATE(D23)"),"Full course of R for Data Science with Tidyverse")</f>
        <v>Full course of R for Data Science with Tidyverse</v>
      </c>
      <c r="F23" s="36" t="s">
        <v>4943</v>
      </c>
      <c r="G23" s="45">
        <v>4.506183</v>
      </c>
      <c r="H23" s="45">
        <v>35.064999999999998</v>
      </c>
      <c r="I23" s="46" t="s">
        <v>21</v>
      </c>
    </row>
    <row r="24" spans="1:9" ht="12.5">
      <c r="A24" s="47">
        <v>2182970</v>
      </c>
      <c r="B24" s="36" t="s">
        <v>31</v>
      </c>
      <c r="C24" s="36" t="s">
        <v>37</v>
      </c>
      <c r="D24" s="36" t="s">
        <v>4944</v>
      </c>
      <c r="E24" s="48" t="str">
        <f ca="1">IFERROR(__xludf.DUMMYFUNCTION("GOOGLETRANSLATE(D24)"),"Business Intelligence With Power BI and SQL Server 2019")</f>
        <v>Business Intelligence With Power BI and SQL Server 2019</v>
      </c>
      <c r="F24" s="36" t="s">
        <v>4945</v>
      </c>
      <c r="G24" s="45">
        <v>4.3531865999999999</v>
      </c>
      <c r="H24" s="45">
        <v>14.860833</v>
      </c>
      <c r="I24" s="36" t="s">
        <v>21</v>
      </c>
    </row>
    <row r="25" spans="1:9" ht="12.5">
      <c r="A25" s="47">
        <v>1213480</v>
      </c>
      <c r="B25" s="36" t="s">
        <v>31</v>
      </c>
      <c r="C25" s="36" t="s">
        <v>37</v>
      </c>
      <c r="D25" s="36" t="s">
        <v>4946</v>
      </c>
      <c r="E25" s="48" t="str">
        <f ca="1">IFERROR(__xludf.DUMMYFUNCTION("GOOGLETRANSLATE(D25)"),"SQL for managing databases with MySQL")</f>
        <v>SQL for managing databases with MySQL</v>
      </c>
      <c r="F25" s="36" t="s">
        <v>4947</v>
      </c>
      <c r="G25" s="45">
        <v>4.4510845999999997</v>
      </c>
      <c r="H25" s="45">
        <v>4.8469439999999997</v>
      </c>
      <c r="I25" s="36" t="s">
        <v>21</v>
      </c>
    </row>
    <row r="26" spans="1:9" ht="12.5">
      <c r="A26" s="41">
        <v>2736848</v>
      </c>
      <c r="B26" s="36" t="s">
        <v>31</v>
      </c>
      <c r="C26" s="36" t="s">
        <v>37</v>
      </c>
      <c r="D26" s="43" t="s">
        <v>4948</v>
      </c>
      <c r="E26" s="44" t="str">
        <f ca="1">IFERROR(__xludf.DUMMYFUNCTION("GOOGLETRANSLATE(D26)"),"Data Analysis and Graphics Python: Panda and Matplotlib.")</f>
        <v>Data Analysis and Graphics Python: Panda and Matplotlib.</v>
      </c>
      <c r="F26" s="36" t="s">
        <v>4949</v>
      </c>
      <c r="G26" s="45">
        <v>4.1134180000000002</v>
      </c>
      <c r="H26" s="45">
        <v>7.1208330000000002</v>
      </c>
      <c r="I26" s="36" t="s">
        <v>21</v>
      </c>
    </row>
    <row r="27" spans="1:9" ht="12.5">
      <c r="A27" s="41">
        <v>1898236</v>
      </c>
      <c r="B27" s="36" t="s">
        <v>31</v>
      </c>
      <c r="C27" s="36" t="s">
        <v>37</v>
      </c>
      <c r="D27" s="43" t="s">
        <v>4950</v>
      </c>
      <c r="E27" s="44" t="str">
        <f ca="1">IFERROR(__xludf.DUMMYFUNCTION("GOOGLETRANSLATE(D27)"),"Power BI Business Intelligence - Intelligent Decision Making")</f>
        <v>Power BI Business Intelligence - Intelligent Decision Making</v>
      </c>
      <c r="F27" s="36" t="s">
        <v>4951</v>
      </c>
      <c r="G27" s="45">
        <v>4.3269114000000002</v>
      </c>
      <c r="H27" s="45">
        <v>3.3919440000000001</v>
      </c>
      <c r="I27" s="36" t="s">
        <v>21</v>
      </c>
    </row>
    <row r="28" spans="1:9" ht="12.5">
      <c r="A28" s="47">
        <v>1323478</v>
      </c>
      <c r="B28" s="36" t="s">
        <v>31</v>
      </c>
      <c r="C28" s="36" t="s">
        <v>37</v>
      </c>
      <c r="D28" s="36" t="s">
        <v>4952</v>
      </c>
      <c r="E28" s="48" t="str">
        <f ca="1">IFERROR(__xludf.DUMMYFUNCTION("GOOGLETRANSLATE(D28)"),"Power BI: Giving Life to Your Data with Business Reports")</f>
        <v>Power BI: Giving Life to Your Data with Business Reports</v>
      </c>
      <c r="F28" s="36" t="s">
        <v>4953</v>
      </c>
      <c r="G28" s="45">
        <v>4.3548229999999997</v>
      </c>
      <c r="H28" s="45">
        <v>3.9355549999999999</v>
      </c>
      <c r="I28" s="36" t="s">
        <v>21</v>
      </c>
    </row>
    <row r="29" spans="1:9" ht="12.5">
      <c r="A29" s="47">
        <v>2060935</v>
      </c>
      <c r="B29" s="36" t="s">
        <v>31</v>
      </c>
      <c r="C29" s="36" t="s">
        <v>37</v>
      </c>
      <c r="D29" s="36" t="s">
        <v>4954</v>
      </c>
      <c r="E29" s="48" t="str">
        <f ca="1">IFERROR(__xludf.DUMMYFUNCTION("GOOGLETRANSLATE(D29)"),"Descriptive statistics and inferential with R")</f>
        <v>Descriptive statistics and inferential with R</v>
      </c>
      <c r="F29" s="36" t="s">
        <v>4955</v>
      </c>
      <c r="G29" s="45">
        <v>4.6861470000000001</v>
      </c>
      <c r="H29" s="45">
        <v>7.2913880000000004</v>
      </c>
      <c r="I29" s="36" t="s">
        <v>72</v>
      </c>
    </row>
    <row r="30" spans="1:9" ht="12.5">
      <c r="A30" s="41">
        <v>2947558</v>
      </c>
      <c r="B30" s="36" t="s">
        <v>31</v>
      </c>
      <c r="C30" s="36" t="s">
        <v>37</v>
      </c>
      <c r="D30" s="43" t="s">
        <v>4956</v>
      </c>
      <c r="E30" s="44" t="str">
        <f ca="1">IFERROR(__xludf.DUMMYFUNCTION("GOOGLETRANSLATE(D30)"),"Learn to analyze data from the COVID19 with R and Python")</f>
        <v>Learn to analyze data from the COVID19 with R and Python</v>
      </c>
      <c r="F30" s="36" t="s">
        <v>4943</v>
      </c>
      <c r="G30" s="45">
        <v>4.4799429999999996</v>
      </c>
      <c r="H30" s="45">
        <v>11.782500000000001</v>
      </c>
      <c r="I30" s="36" t="s">
        <v>21</v>
      </c>
    </row>
    <row r="31" spans="1:9" ht="12.5">
      <c r="A31" s="47">
        <v>2580700</v>
      </c>
      <c r="B31" s="36" t="s">
        <v>31</v>
      </c>
      <c r="C31" s="36" t="s">
        <v>37</v>
      </c>
      <c r="D31" s="36" t="s">
        <v>4957</v>
      </c>
      <c r="E31" s="48" t="str">
        <f ca="1">IFERROR(__xludf.DUMMYFUNCTION("GOOGLETRANSLATE(D31)"),"Web Scraping: Data extraction and automation on the web")</f>
        <v>Web Scraping: Data extraction and automation on the web</v>
      </c>
      <c r="F31" s="36" t="s">
        <v>4949</v>
      </c>
      <c r="G31" s="45">
        <v>4.5571330000000003</v>
      </c>
      <c r="H31" s="45">
        <v>7.8013880000000002</v>
      </c>
      <c r="I31" s="36" t="s">
        <v>21</v>
      </c>
    </row>
    <row r="32" spans="1:9" ht="12.5">
      <c r="A32" s="41">
        <v>2689158</v>
      </c>
      <c r="B32" s="36" t="s">
        <v>31</v>
      </c>
      <c r="C32" s="36" t="s">
        <v>37</v>
      </c>
      <c r="D32" s="43" t="s">
        <v>4958</v>
      </c>
      <c r="E32" s="44" t="str">
        <f ca="1">IFERROR(__xludf.DUMMYFUNCTION("GOOGLETRANSLATE(D32)"),"A: Data Science and Data Analysis exercises real!")</f>
        <v>A: Data Science and Data Analysis exercises real!</v>
      </c>
      <c r="F32" s="36" t="s">
        <v>4959</v>
      </c>
      <c r="G32" s="45">
        <v>4.6670327</v>
      </c>
      <c r="H32" s="45">
        <v>10.771110999999999</v>
      </c>
      <c r="I32" s="36" t="s">
        <v>21</v>
      </c>
    </row>
    <row r="33" spans="1:9" ht="12.5">
      <c r="A33" s="47">
        <v>713160</v>
      </c>
      <c r="B33" s="36" t="s">
        <v>31</v>
      </c>
      <c r="C33" s="36" t="s">
        <v>44</v>
      </c>
      <c r="D33" s="36" t="s">
        <v>4960</v>
      </c>
      <c r="E33" s="48" t="str">
        <f ca="1">IFERROR(__xludf.DUMMYFUNCTION("GOOGLETRANSLATE(D33)"),"Hadoop Big Data from scratch")</f>
        <v>Hadoop Big Data from scratch</v>
      </c>
      <c r="F33" s="36" t="s">
        <v>4961</v>
      </c>
      <c r="G33" s="45">
        <v>4.4314159999999996</v>
      </c>
      <c r="H33" s="45">
        <v>13.371665999999999</v>
      </c>
      <c r="I33" s="36" t="s">
        <v>21</v>
      </c>
    </row>
    <row r="34" spans="1:9" ht="12.5">
      <c r="A34" s="47">
        <v>1906400</v>
      </c>
      <c r="B34" s="36" t="s">
        <v>31</v>
      </c>
      <c r="C34" s="36" t="s">
        <v>44</v>
      </c>
      <c r="D34" s="36" t="s">
        <v>4962</v>
      </c>
      <c r="E34" s="48" t="str">
        <f ca="1">IFERROR(__xludf.DUMMYFUNCTION("GOOGLETRANSLATE(D34)"),"Full course of Artificial Intelligence with Python")</f>
        <v>Full course of Artificial Intelligence with Python</v>
      </c>
      <c r="F34" s="36" t="s">
        <v>4943</v>
      </c>
      <c r="G34" s="45">
        <v>4.4675349999999998</v>
      </c>
      <c r="H34" s="45">
        <v>29.556664999999999</v>
      </c>
      <c r="I34" s="36" t="s">
        <v>21</v>
      </c>
    </row>
    <row r="35" spans="1:9" ht="12.5">
      <c r="A35" s="41">
        <v>1182378</v>
      </c>
      <c r="B35" s="36" t="s">
        <v>31</v>
      </c>
      <c r="C35" s="36" t="s">
        <v>44</v>
      </c>
      <c r="D35" s="43" t="s">
        <v>4963</v>
      </c>
      <c r="E35" s="44" t="str">
        <f ca="1">IFERROR(__xludf.DUMMYFUNCTION("GOOGLETRANSLATE(D35)"),"Big Data processing with Apache Spark (in Spanish)")</f>
        <v>Big Data processing with Apache Spark (in Spanish)</v>
      </c>
      <c r="F35" s="36" t="s">
        <v>4964</v>
      </c>
      <c r="G35" s="45">
        <v>4.3040310000000002</v>
      </c>
      <c r="H35" s="45">
        <v>4.8644439999999998</v>
      </c>
      <c r="I35" s="36" t="s">
        <v>72</v>
      </c>
    </row>
    <row r="36" spans="1:9" ht="12.5">
      <c r="A36" s="47">
        <v>650734</v>
      </c>
      <c r="B36" s="36" t="s">
        <v>31</v>
      </c>
      <c r="C36" s="36" t="s">
        <v>44</v>
      </c>
      <c r="D36" s="36" t="s">
        <v>4965</v>
      </c>
      <c r="E36" s="48" t="str">
        <f ca="1">IFERROR(__xludf.DUMMYFUNCTION("GOOGLETRANSLATE(D36)"),"QGIS learn from scratch. GIS open source.")</f>
        <v>QGIS learn from scratch. GIS open source.</v>
      </c>
      <c r="F36" s="36" t="s">
        <v>4966</v>
      </c>
      <c r="G36" s="45">
        <v>4.3788033000000004</v>
      </c>
      <c r="H36" s="45">
        <v>4.1494439999999999</v>
      </c>
      <c r="I36" s="36" t="s">
        <v>21</v>
      </c>
    </row>
    <row r="37" spans="1:9" ht="12.5">
      <c r="A37" s="47">
        <v>878120</v>
      </c>
      <c r="B37" s="36" t="s">
        <v>31</v>
      </c>
      <c r="C37" s="36" t="s">
        <v>44</v>
      </c>
      <c r="D37" s="36" t="s">
        <v>4967</v>
      </c>
      <c r="E37" s="48" t="str">
        <f ca="1">IFERROR(__xludf.DUMMYFUNCTION("GOOGLETRANSLATE(D37)"),"Course ArcGIS 10")</f>
        <v>Course ArcGIS 10</v>
      </c>
      <c r="F37" s="36" t="s">
        <v>4968</v>
      </c>
      <c r="G37" s="45">
        <v>4.3236765999999998</v>
      </c>
      <c r="H37" s="45">
        <v>4.1052770000000001</v>
      </c>
      <c r="I37" s="36" t="s">
        <v>72</v>
      </c>
    </row>
    <row r="38" spans="1:9" ht="12.5">
      <c r="A38" s="47">
        <v>1991708</v>
      </c>
      <c r="B38" s="36" t="s">
        <v>31</v>
      </c>
      <c r="C38" s="36" t="s">
        <v>44</v>
      </c>
      <c r="D38" s="36" t="s">
        <v>4969</v>
      </c>
      <c r="E38" s="48" t="str">
        <f ca="1">IFERROR(__xludf.DUMMYFUNCTION("GOOGLETRANSLATE(D38)"),"Master in IoT - Connect to the Future")</f>
        <v>Master in IoT - Connect to the Future</v>
      </c>
      <c r="F38" s="36" t="s">
        <v>4951</v>
      </c>
      <c r="G38" s="45">
        <v>4.6269049999999998</v>
      </c>
      <c r="H38" s="45">
        <v>4.25</v>
      </c>
      <c r="I38" s="36" t="s">
        <v>21</v>
      </c>
    </row>
    <row r="39" spans="1:9" ht="12.5">
      <c r="A39" s="41">
        <v>3007072</v>
      </c>
      <c r="B39" s="36" t="s">
        <v>31</v>
      </c>
      <c r="C39" s="36" t="s">
        <v>44</v>
      </c>
      <c r="D39" s="43" t="s">
        <v>4970</v>
      </c>
      <c r="E39" s="44" t="str">
        <f ca="1">IFERROR(__xludf.DUMMYFUNCTION("GOOGLETRANSLATE(D39)"),"Advanced Course Time Series with R and Python")</f>
        <v>Advanced Course Time Series with R and Python</v>
      </c>
      <c r="F39" s="36" t="s">
        <v>4971</v>
      </c>
      <c r="G39" s="45">
        <v>4.7139470000000001</v>
      </c>
      <c r="H39" s="45">
        <v>17.372499999999999</v>
      </c>
      <c r="I39" s="36" t="s">
        <v>21</v>
      </c>
    </row>
    <row r="40" spans="1:9" ht="12.5">
      <c r="A40" s="47">
        <v>1917610</v>
      </c>
      <c r="B40" s="36" t="s">
        <v>31</v>
      </c>
      <c r="C40" s="36" t="s">
        <v>44</v>
      </c>
      <c r="D40" s="36" t="s">
        <v>4972</v>
      </c>
      <c r="E40" s="48" t="str">
        <f ca="1">IFERROR(__xludf.DUMMYFUNCTION("GOOGLETRANSLATE(D40)"),"Flood modeling and analysis with Hec-RAS and ArcGIS")</f>
        <v>Flood modeling and analysis with Hec-RAS and ArcGIS</v>
      </c>
      <c r="F40" s="36" t="s">
        <v>4973</v>
      </c>
      <c r="G40" s="45">
        <v>4.5515255999999997</v>
      </c>
      <c r="H40" s="45">
        <v>1.8891659999999999</v>
      </c>
      <c r="I40" s="36" t="s">
        <v>21</v>
      </c>
    </row>
    <row r="41" spans="1:9" ht="12.5">
      <c r="A41" s="47">
        <v>2047747</v>
      </c>
      <c r="B41" s="36" t="s">
        <v>31</v>
      </c>
      <c r="C41" s="36" t="s">
        <v>93</v>
      </c>
      <c r="D41" s="36" t="s">
        <v>4974</v>
      </c>
      <c r="E41" s="48" t="str">
        <f ca="1">IFERROR(__xludf.DUMMYFUNCTION("GOOGLETRANSLATE(D41)"),"Full course Desktop Power BI - Latest version of Power BI")</f>
        <v>Full course Desktop Power BI - Latest version of Power BI</v>
      </c>
      <c r="F41" s="36" t="s">
        <v>4937</v>
      </c>
      <c r="G41" s="45">
        <v>4.5280075000000002</v>
      </c>
      <c r="H41" s="45">
        <v>17.6525</v>
      </c>
      <c r="I41" s="36" t="s">
        <v>21</v>
      </c>
    </row>
    <row r="42" spans="1:9" ht="12.5">
      <c r="A42" s="41">
        <v>1784234</v>
      </c>
      <c r="B42" s="36" t="s">
        <v>31</v>
      </c>
      <c r="C42" s="36" t="s">
        <v>93</v>
      </c>
      <c r="D42" s="43" t="s">
        <v>4975</v>
      </c>
      <c r="E42" s="44" t="str">
        <f ca="1">IFERROR(__xludf.DUMMYFUNCTION("GOOGLETRANSLATE(D42)"),"Elastic Stack 7. Beats, Logstash, Elasticsearch, Kibana. ELK")</f>
        <v>Elastic Stack 7. Beats, Logstash, Elasticsearch, Kibana. ELK</v>
      </c>
      <c r="F42" s="36" t="s">
        <v>4976</v>
      </c>
      <c r="G42" s="45">
        <v>4.5713366999999998</v>
      </c>
      <c r="H42" s="45">
        <v>16.789165000000001</v>
      </c>
      <c r="I42" s="36" t="s">
        <v>21</v>
      </c>
    </row>
    <row r="43" spans="1:9" ht="12.5">
      <c r="A43" s="47">
        <v>1235528</v>
      </c>
      <c r="B43" s="36" t="s">
        <v>31</v>
      </c>
      <c r="C43" s="36" t="s">
        <v>93</v>
      </c>
      <c r="D43" s="36" t="s">
        <v>4977</v>
      </c>
      <c r="E43" s="48" t="str">
        <f ca="1">IFERROR(__xludf.DUMMYFUNCTION("GOOGLETRANSLATE(D43)"),"Data Analysis and Visualization with Tableau")</f>
        <v>Data Analysis and Visualization with Tableau</v>
      </c>
      <c r="F43" s="36" t="s">
        <v>4978</v>
      </c>
      <c r="G43" s="45">
        <v>4.5555506000000001</v>
      </c>
      <c r="H43" s="45">
        <v>3.8858329999999999</v>
      </c>
      <c r="I43" s="36" t="s">
        <v>17</v>
      </c>
    </row>
    <row r="44" spans="1:9" ht="12.5">
      <c r="A44" s="47">
        <v>1721258</v>
      </c>
      <c r="B44" s="36" t="s">
        <v>31</v>
      </c>
      <c r="C44" s="36" t="s">
        <v>93</v>
      </c>
      <c r="D44" s="36" t="s">
        <v>4979</v>
      </c>
      <c r="E44" s="48" t="str">
        <f ca="1">IFERROR(__xludf.DUMMYFUNCTION("GOOGLETRANSLATE(D44)"),"Guía completa de ELK Stack: Elasticsearch, Logstash, Kibana")</f>
        <v>Guía completa de ELK Stack: Elasticsearch, Logstash, Kibana</v>
      </c>
      <c r="F44" s="36" t="s">
        <v>4980</v>
      </c>
      <c r="G44" s="45">
        <v>4.5219199999999997</v>
      </c>
      <c r="H44" s="45">
        <v>11.446944</v>
      </c>
      <c r="I44" s="36" t="s">
        <v>21</v>
      </c>
    </row>
    <row r="45" spans="1:9" ht="12.5">
      <c r="A45" s="47">
        <v>2352886</v>
      </c>
      <c r="B45" s="36" t="s">
        <v>31</v>
      </c>
      <c r="C45" s="36" t="s">
        <v>93</v>
      </c>
      <c r="D45" s="36" t="s">
        <v>4981</v>
      </c>
      <c r="E45" s="48" t="str">
        <f ca="1">IFERROR(__xludf.DUMMYFUNCTION("GOOGLETRANSLATE(D45)"),"Creates a model with Power SUPPLY CHAIN ​​BI Analytics")</f>
        <v>Creates a model with Power SUPPLY CHAIN ​​BI Analytics</v>
      </c>
      <c r="F45" s="36" t="s">
        <v>4982</v>
      </c>
      <c r="G45" s="45">
        <v>4.2383213</v>
      </c>
      <c r="H45" s="45">
        <v>2.1119439999999998</v>
      </c>
      <c r="I45" s="36" t="s">
        <v>21</v>
      </c>
    </row>
    <row r="46" spans="1:9" ht="12.5">
      <c r="A46" s="47">
        <v>2336072</v>
      </c>
      <c r="B46" s="36" t="s">
        <v>31</v>
      </c>
      <c r="C46" s="36" t="s">
        <v>93</v>
      </c>
      <c r="D46" s="36" t="s">
        <v>4983</v>
      </c>
      <c r="E46" s="48" t="str">
        <f ca="1">IFERROR(__xludf.DUMMYFUNCTION("GOOGLETRANSLATE(D46)"),"Call Center Analytica con Business Intelligence y Power BI")</f>
        <v>Call Center Analytica con Business Intelligence y Power BI</v>
      </c>
      <c r="F46" s="36" t="s">
        <v>4982</v>
      </c>
      <c r="G46" s="45">
        <v>4.6836310000000001</v>
      </c>
      <c r="H46" s="45">
        <v>1.9277770000000001</v>
      </c>
      <c r="I46" s="36" t="s">
        <v>21</v>
      </c>
    </row>
    <row r="47" spans="1:9" ht="12.5">
      <c r="A47" s="41">
        <v>1606018</v>
      </c>
      <c r="B47" s="36" t="s">
        <v>31</v>
      </c>
      <c r="C47" s="36" t="s">
        <v>32</v>
      </c>
      <c r="D47" s="43" t="s">
        <v>4984</v>
      </c>
      <c r="E47" s="44" t="str">
        <f ca="1">IFERROR(__xludf.DUMMYFUNCTION("GOOGLETRANSLATE(D47)"),"full course of Machine Learning: Data Science en Python")</f>
        <v>full course of Machine Learning: Data Science en Python</v>
      </c>
      <c r="F47" s="36" t="s">
        <v>4943</v>
      </c>
      <c r="G47" s="45">
        <v>4.6710710000000004</v>
      </c>
      <c r="H47" s="45">
        <v>48.477499999999999</v>
      </c>
      <c r="I47" s="36" t="s">
        <v>21</v>
      </c>
    </row>
    <row r="48" spans="1:9" ht="12.5">
      <c r="A48" s="41">
        <v>2241862</v>
      </c>
      <c r="B48" s="36" t="s">
        <v>31</v>
      </c>
      <c r="C48" s="36" t="s">
        <v>32</v>
      </c>
      <c r="D48" s="43" t="s">
        <v>4985</v>
      </c>
      <c r="E48" s="44" t="str">
        <f ca="1">IFERROR(__xludf.DUMMYFUNCTION("GOOGLETRANSLATE(D48)"),"Machine Learning de A a la Z: R y Python para Data Science")</f>
        <v>Machine Learning de A a la Z: R y Python para Data Science</v>
      </c>
      <c r="F48" s="36" t="s">
        <v>4943</v>
      </c>
      <c r="G48" s="45">
        <v>4.6248198</v>
      </c>
      <c r="H48" s="45">
        <v>51.037500000000001</v>
      </c>
      <c r="I48" s="36" t="s">
        <v>21</v>
      </c>
    </row>
    <row r="49" spans="1:9" ht="12.5">
      <c r="A49" s="41">
        <v>2861742</v>
      </c>
      <c r="B49" s="36" t="s">
        <v>31</v>
      </c>
      <c r="C49" s="36" t="s">
        <v>32</v>
      </c>
      <c r="D49" s="43" t="s">
        <v>4986</v>
      </c>
      <c r="E49" s="44" t="str">
        <f ca="1">IFERROR(__xludf.DUMMYFUNCTION("GOOGLETRANSLATE(D49)"),"Web Scraping master course: Extracting data from the Web")</f>
        <v>Web Scraping master course: Extracting data from the Web</v>
      </c>
      <c r="F49" s="36" t="s">
        <v>4987</v>
      </c>
      <c r="G49" s="45">
        <v>4.6506800000000004</v>
      </c>
      <c r="H49" s="45">
        <v>13.587222000000001</v>
      </c>
      <c r="I49" s="36" t="s">
        <v>21</v>
      </c>
    </row>
    <row r="50" spans="1:9" ht="12.5">
      <c r="A50" s="47">
        <v>2664884</v>
      </c>
      <c r="B50" s="36" t="s">
        <v>31</v>
      </c>
      <c r="C50" s="36" t="s">
        <v>32</v>
      </c>
      <c r="D50" s="36" t="s">
        <v>4988</v>
      </c>
      <c r="E50" s="48" t="str">
        <f ca="1">IFERROR(__xludf.DUMMYFUNCTION("GOOGLETRANSLATE(D50)"),"Deep Learning from A to Z: neural networks in Python from scratch")</f>
        <v>Deep Learning from A to Z: neural networks in Python from scratch</v>
      </c>
      <c r="F50" s="36" t="s">
        <v>4989</v>
      </c>
      <c r="G50" s="45">
        <v>4.5943155000000004</v>
      </c>
      <c r="H50" s="45">
        <v>30.680277</v>
      </c>
      <c r="I50" s="36" t="s">
        <v>21</v>
      </c>
    </row>
    <row r="51" spans="1:9" ht="12.5">
      <c r="A51" s="47">
        <v>2867200</v>
      </c>
      <c r="B51" s="36" t="s">
        <v>31</v>
      </c>
      <c r="C51" s="36" t="s">
        <v>32</v>
      </c>
      <c r="D51" s="36" t="s">
        <v>4990</v>
      </c>
      <c r="E51" s="48" t="str">
        <f ca="1">IFERROR(__xludf.DUMMYFUNCTION("GOOGLETRANSLATE(D51)"),"Artificial Intelligence Applied to Business and Business")</f>
        <v>Artificial Intelligence Applied to Business and Business</v>
      </c>
      <c r="F51" s="36" t="s">
        <v>4991</v>
      </c>
      <c r="G51" s="45">
        <v>4.6276010000000003</v>
      </c>
      <c r="H51" s="45">
        <v>19.404444000000002</v>
      </c>
      <c r="I51" s="36" t="s">
        <v>21</v>
      </c>
    </row>
    <row r="52" spans="1:9" ht="12.5">
      <c r="A52" s="41">
        <v>2440222</v>
      </c>
      <c r="B52" s="36" t="s">
        <v>31</v>
      </c>
      <c r="C52" s="36" t="s">
        <v>32</v>
      </c>
      <c r="D52" s="43" t="s">
        <v>4992</v>
      </c>
      <c r="E52" s="44" t="str">
        <f ca="1">IFERROR(__xludf.DUMMYFUNCTION("GOOGLETRANSLATE(D52)"),"Tensorflow 2.0: Complete Guide for New Tensorflow")</f>
        <v>Tensorflow 2.0: Complete Guide for New Tensorflow</v>
      </c>
      <c r="F52" s="36" t="s">
        <v>2437</v>
      </c>
      <c r="G52" s="45">
        <v>4.5405530000000001</v>
      </c>
      <c r="H52" s="45">
        <v>20.146944000000001</v>
      </c>
      <c r="I52" s="36" t="s">
        <v>21</v>
      </c>
    </row>
    <row r="53" spans="1:9" ht="12.5">
      <c r="A53" s="47">
        <v>1483710</v>
      </c>
      <c r="B53" s="36" t="s">
        <v>31</v>
      </c>
      <c r="C53" s="36" t="s">
        <v>32</v>
      </c>
      <c r="D53" s="36" t="s">
        <v>4993</v>
      </c>
      <c r="E53" s="48" t="str">
        <f ca="1">IFERROR(__xludf.DUMMYFUNCTION("GOOGLETRANSLATE(D53)"),"Full course Machine Learning: Data Science with rstudio")</f>
        <v>Full course Machine Learning: Data Science with rstudio</v>
      </c>
      <c r="F53" s="36" t="s">
        <v>4943</v>
      </c>
      <c r="G53" s="45">
        <v>4.7337020000000001</v>
      </c>
      <c r="H53" s="45">
        <v>51.14611</v>
      </c>
      <c r="I53" s="36" t="s">
        <v>21</v>
      </c>
    </row>
    <row r="54" spans="1:9" ht="12.5">
      <c r="A54" s="41">
        <v>1419158</v>
      </c>
      <c r="B54" s="36" t="s">
        <v>31</v>
      </c>
      <c r="C54" s="36" t="s">
        <v>32</v>
      </c>
      <c r="D54" s="43" t="s">
        <v>4994</v>
      </c>
      <c r="E54" s="44" t="str">
        <f ca="1">IFERROR(__xludf.DUMMYFUNCTION("GOOGLETRANSLATE(D54)"),"Artificial Intelligence - Simplified")</f>
        <v>Artificial Intelligence - Simplified</v>
      </c>
      <c r="F54" s="36" t="s">
        <v>4995</v>
      </c>
      <c r="G54" s="45">
        <v>4.4149374999999997</v>
      </c>
      <c r="H54" s="45">
        <v>2.1466660000000002</v>
      </c>
      <c r="I54" s="36" t="s">
        <v>17</v>
      </c>
    </row>
    <row r="55" spans="1:9" ht="12.5">
      <c r="A55" s="41">
        <v>2158510</v>
      </c>
      <c r="B55" s="36" t="s">
        <v>31</v>
      </c>
      <c r="C55" s="36" t="s">
        <v>32</v>
      </c>
      <c r="D55" s="43" t="s">
        <v>4996</v>
      </c>
      <c r="E55" s="44" t="str">
        <f ca="1">IFERROR(__xludf.DUMMYFUNCTION("GOOGLETRANSLATE(D55)"),"Deep Learning and Artificial Intelligence with Keras / Tensorflow")</f>
        <v>Deep Learning and Artificial Intelligence with Keras / Tensorflow</v>
      </c>
      <c r="F55" s="36" t="s">
        <v>4997</v>
      </c>
      <c r="G55" s="45">
        <v>4.2039020000000002</v>
      </c>
      <c r="H55" s="45">
        <v>16.167776</v>
      </c>
      <c r="I55" s="36" t="s">
        <v>21</v>
      </c>
    </row>
    <row r="56" spans="1:9" ht="12.5">
      <c r="A56" s="41">
        <v>2521460</v>
      </c>
      <c r="B56" s="42" t="s">
        <v>31</v>
      </c>
      <c r="C56" s="43" t="s">
        <v>32</v>
      </c>
      <c r="D56" s="36" t="s">
        <v>4998</v>
      </c>
      <c r="E56" s="48" t="str">
        <f ca="1">IFERROR(__xludf.DUMMYFUNCTION("GOOGLETRANSLATE(D56)"),"Chance for Machine Learning and Big Data with R and Python")</f>
        <v>Chance for Machine Learning and Big Data with R and Python</v>
      </c>
      <c r="F56" s="36" t="s">
        <v>4943</v>
      </c>
      <c r="G56" s="45">
        <v>4.6431103</v>
      </c>
      <c r="H56" s="45">
        <v>43.858612000000001</v>
      </c>
      <c r="I56" s="46" t="s">
        <v>21</v>
      </c>
    </row>
    <row r="57" spans="1:9" ht="12.5">
      <c r="A57" s="41">
        <v>3029790</v>
      </c>
      <c r="B57" s="42" t="s">
        <v>31</v>
      </c>
      <c r="C57" s="43" t="s">
        <v>32</v>
      </c>
      <c r="D57" s="36" t="s">
        <v>4999</v>
      </c>
      <c r="E57" s="48" t="str">
        <f ca="1">IFERROR(__xludf.DUMMYFUNCTION("GOOGLETRANSLATE(D57)"),"Artificial Intelligence Masterclass")</f>
        <v>Artificial Intelligence Masterclass</v>
      </c>
      <c r="F57" s="36" t="s">
        <v>5000</v>
      </c>
      <c r="G57" s="45">
        <v>4.6808110000000003</v>
      </c>
      <c r="H57" s="45">
        <v>17.580832999999998</v>
      </c>
      <c r="I57" s="46" t="s">
        <v>259</v>
      </c>
    </row>
    <row r="58" spans="1:9" ht="12.5">
      <c r="A58" s="41">
        <v>2171402</v>
      </c>
      <c r="B58" s="36" t="s">
        <v>31</v>
      </c>
      <c r="C58" s="36" t="s">
        <v>32</v>
      </c>
      <c r="D58" s="43" t="s">
        <v>5001</v>
      </c>
      <c r="E58" s="44" t="str">
        <f ca="1">IFERROR(__xludf.DUMMYFUNCTION("GOOGLETRANSLATE(D58)"),"Deep Learning con Tensorflow para Machine Learning e IA")</f>
        <v>Deep Learning con Tensorflow para Machine Learning e IA</v>
      </c>
      <c r="F58" s="36" t="s">
        <v>4943</v>
      </c>
      <c r="G58" s="45">
        <v>4.7538640000000001</v>
      </c>
      <c r="H58" s="45">
        <v>40.157223000000002</v>
      </c>
      <c r="I58" s="46" t="s">
        <v>21</v>
      </c>
    </row>
    <row r="59" spans="1:9" ht="12.5">
      <c r="A59" s="41">
        <v>2595826</v>
      </c>
      <c r="B59" s="42" t="s">
        <v>31</v>
      </c>
      <c r="C59" s="43" t="s">
        <v>32</v>
      </c>
      <c r="D59" s="36" t="s">
        <v>5002</v>
      </c>
      <c r="E59" s="48" t="str">
        <f ca="1">IFERROR(__xludf.DUMMYFUNCTION("GOOGLETRANSLATE(D59)"),"inferential statistics for Machine Learning with R and Python")</f>
        <v>inferential statistics for Machine Learning with R and Python</v>
      </c>
      <c r="F59" s="36" t="s">
        <v>4943</v>
      </c>
      <c r="G59" s="45">
        <v>4.6356286999999998</v>
      </c>
      <c r="H59" s="45">
        <v>46.733887000000003</v>
      </c>
      <c r="I59" s="46" t="s">
        <v>21</v>
      </c>
    </row>
    <row r="60" spans="1:9" ht="12.5">
      <c r="A60" s="41">
        <v>3169264</v>
      </c>
      <c r="B60" s="42" t="s">
        <v>31</v>
      </c>
      <c r="C60" s="43" t="s">
        <v>32</v>
      </c>
      <c r="D60" s="36" t="s">
        <v>5003</v>
      </c>
      <c r="E60" s="48" t="str">
        <f ca="1">IFERROR(__xludf.DUMMYFUNCTION("GOOGLETRANSLATE(D60)"),"Deep Learning applied: diagnosis Covid-19 Xray")</f>
        <v>Deep Learning applied: diagnosis Covid-19 Xray</v>
      </c>
      <c r="F60" s="36" t="s">
        <v>5004</v>
      </c>
      <c r="G60" s="45">
        <v>4.7906623000000002</v>
      </c>
      <c r="H60" s="45">
        <v>3.9908329999999999</v>
      </c>
      <c r="I60" s="46" t="s">
        <v>72</v>
      </c>
    </row>
    <row r="61" spans="1:9" ht="12.5">
      <c r="A61" s="41">
        <v>2722404</v>
      </c>
      <c r="B61" s="42" t="s">
        <v>31</v>
      </c>
      <c r="C61" s="43" t="s">
        <v>32</v>
      </c>
      <c r="D61" s="36" t="s">
        <v>5005</v>
      </c>
      <c r="E61" s="48" t="str">
        <f ca="1">IFERROR(__xludf.DUMMYFUNCTION("GOOGLETRANSLATE(D61)"),"Machine Learning from scratch: Real projects in Python 3")</f>
        <v>Machine Learning from scratch: Real projects in Python 3</v>
      </c>
      <c r="F61" s="36" t="s">
        <v>5006</v>
      </c>
      <c r="G61" s="45">
        <v>4.5197988000000002</v>
      </c>
      <c r="H61" s="45">
        <v>32.171944000000003</v>
      </c>
      <c r="I61" s="46" t="s">
        <v>21</v>
      </c>
    </row>
    <row r="62" spans="1:9" ht="12.5">
      <c r="A62" s="41">
        <v>2066697</v>
      </c>
      <c r="B62" s="42" t="s">
        <v>31</v>
      </c>
      <c r="C62" s="43" t="s">
        <v>1161</v>
      </c>
      <c r="D62" s="36" t="s">
        <v>5007</v>
      </c>
      <c r="E62" s="48" t="str">
        <f ca="1">IFERROR(__xludf.DUMMYFUNCTION("GOOGLETRANSLATE(D62)"),"Descriptive statistics full course - rstudio and Python")</f>
        <v>Descriptive statistics full course - rstudio and Python</v>
      </c>
      <c r="F62" s="36" t="s">
        <v>4943</v>
      </c>
      <c r="G62" s="45">
        <v>4.6049541999999999</v>
      </c>
      <c r="H62" s="45">
        <v>44.178609999999999</v>
      </c>
      <c r="I62" s="46" t="s">
        <v>17</v>
      </c>
    </row>
    <row r="63" spans="1:9" ht="12.5">
      <c r="A63" s="47">
        <v>2423588</v>
      </c>
      <c r="B63" s="36" t="s">
        <v>31</v>
      </c>
      <c r="C63" s="36" t="s">
        <v>1161</v>
      </c>
      <c r="D63" s="36" t="s">
        <v>5008</v>
      </c>
      <c r="E63" s="48" t="str">
        <f ca="1">IFERROR(__xludf.DUMMYFUNCTION("GOOGLETRANSLATE(D63)"),"Data Science and Statistics for Business Analysis")</f>
        <v>Data Science and Statistics for Business Analysis</v>
      </c>
      <c r="F63" s="36" t="s">
        <v>1156</v>
      </c>
      <c r="G63" s="45">
        <v>4.2972289999999997</v>
      </c>
      <c r="H63" s="45">
        <v>3.360833</v>
      </c>
      <c r="I63" s="46" t="s">
        <v>21</v>
      </c>
    </row>
    <row r="64" spans="1:9" ht="12.5">
      <c r="A64" s="41">
        <v>2607514</v>
      </c>
      <c r="B64" s="42" t="s">
        <v>31</v>
      </c>
      <c r="C64" s="43" t="s">
        <v>1161</v>
      </c>
      <c r="D64" s="43" t="s">
        <v>5009</v>
      </c>
      <c r="E64" s="44" t="str">
        <f ca="1">IFERROR(__xludf.DUMMYFUNCTION("GOOGLETRANSLATE(D64)"),"advanced course of multivariate statistics with R and Python")</f>
        <v>advanced course of multivariate statistics with R and Python</v>
      </c>
      <c r="F64" s="36" t="s">
        <v>4943</v>
      </c>
      <c r="G64" s="45">
        <v>4.3057283999999996</v>
      </c>
      <c r="H64" s="45">
        <v>17.221665999999999</v>
      </c>
      <c r="I64" s="46" t="s">
        <v>259</v>
      </c>
    </row>
    <row r="65" spans="1:9" ht="12.5">
      <c r="A65" s="41">
        <v>2001846</v>
      </c>
      <c r="B65" s="36" t="s">
        <v>31</v>
      </c>
      <c r="C65" s="36" t="s">
        <v>1161</v>
      </c>
      <c r="D65" s="36" t="s">
        <v>5010</v>
      </c>
      <c r="E65" s="48" t="str">
        <f ca="1">IFERROR(__xludf.DUMMYFUNCTION("GOOGLETRANSLATE(D65)"),"Math Level Test")</f>
        <v>Math Level Test</v>
      </c>
      <c r="F65" s="36" t="s">
        <v>5011</v>
      </c>
      <c r="G65" s="45">
        <v>3.3521193999999999</v>
      </c>
      <c r="H65" s="49"/>
      <c r="I65" s="46" t="s">
        <v>21</v>
      </c>
    </row>
    <row r="66" spans="1:9" ht="12.5">
      <c r="A66" s="41">
        <v>2387184</v>
      </c>
      <c r="B66" s="42" t="s">
        <v>102</v>
      </c>
      <c r="C66" s="43" t="s">
        <v>116</v>
      </c>
      <c r="D66" s="36" t="s">
        <v>5012</v>
      </c>
      <c r="E66" s="48" t="str">
        <f ca="1">IFERROR(__xludf.DUMMYFUNCTION("GOOGLETRANSLATE(D66)"),"MACHINE LEARNING AND NEURAL NETWORKS MASTERCLASS 2021! PYTHON")</f>
        <v>MACHINE LEARNING AND NEURAL NETWORKS MASTERCLASS 2021! PYTHON</v>
      </c>
      <c r="F66" s="36" t="s">
        <v>5013</v>
      </c>
      <c r="G66" s="45">
        <v>4.4385833999999997</v>
      </c>
      <c r="H66" s="45">
        <v>17.463888000000001</v>
      </c>
      <c r="I66" s="46" t="s">
        <v>21</v>
      </c>
    </row>
    <row r="67" spans="1:9" ht="12.5">
      <c r="A67" s="41">
        <v>851918</v>
      </c>
      <c r="B67" s="36" t="s">
        <v>102</v>
      </c>
      <c r="C67" s="36" t="s">
        <v>116</v>
      </c>
      <c r="D67" s="36" t="s">
        <v>5014</v>
      </c>
      <c r="E67" s="48" t="str">
        <f ca="1">IFERROR(__xludf.DUMMYFUNCTION("GOOGLETRANSLATE(D67)"),"After Effects: De zero a Master")</f>
        <v>After Effects: De zero a Master</v>
      </c>
      <c r="F67" s="36" t="s">
        <v>5015</v>
      </c>
      <c r="G67" s="45">
        <v>4.4642315000000004</v>
      </c>
      <c r="H67" s="45">
        <v>12.070277000000001</v>
      </c>
      <c r="I67" s="46" t="s">
        <v>21</v>
      </c>
    </row>
    <row r="68" spans="1:9" ht="12.5">
      <c r="A68" s="41">
        <v>1072520</v>
      </c>
      <c r="B68" s="42" t="s">
        <v>102</v>
      </c>
      <c r="C68" s="43" t="s">
        <v>116</v>
      </c>
      <c r="D68" s="36" t="s">
        <v>5016</v>
      </c>
      <c r="E68" s="48" t="str">
        <f ca="1">IFERROR(__xludf.DUMMYFUNCTION("GOOGLETRANSLATE(D68)"),"2.9 Blender 3D modeling expert from zero to Advanced")</f>
        <v>2.9 Blender 3D modeling expert from zero to Advanced</v>
      </c>
      <c r="F68" s="36" t="s">
        <v>5017</v>
      </c>
      <c r="G68" s="45">
        <v>4.5345944999999999</v>
      </c>
      <c r="H68" s="45">
        <v>9.1736109999999993</v>
      </c>
      <c r="I68" s="46" t="s">
        <v>21</v>
      </c>
    </row>
    <row r="69" spans="1:9" ht="12.5">
      <c r="A69" s="41">
        <v>1701302</v>
      </c>
      <c r="B69" s="42" t="s">
        <v>102</v>
      </c>
      <c r="C69" s="43" t="s">
        <v>116</v>
      </c>
      <c r="D69" s="43" t="s">
        <v>5018</v>
      </c>
      <c r="E69" s="44" t="str">
        <f ca="1">IFERROR(__xludf.DUMMYFUNCTION("GOOGLETRANSLATE(D69)"),"AutoCAD 2019 course from scratch and step by step | 11 hours")</f>
        <v>AutoCAD 2019 course from scratch and step by step | 11 hours</v>
      </c>
      <c r="F69" s="36" t="s">
        <v>5019</v>
      </c>
      <c r="G69" s="45">
        <v>4.3147820000000001</v>
      </c>
      <c r="H69" s="45">
        <v>11.246111000000001</v>
      </c>
      <c r="I69" s="46" t="s">
        <v>21</v>
      </c>
    </row>
    <row r="70" spans="1:9" ht="12.5">
      <c r="A70" s="47">
        <v>2065449</v>
      </c>
      <c r="B70" s="36" t="s">
        <v>102</v>
      </c>
      <c r="C70" s="36" t="s">
        <v>116</v>
      </c>
      <c r="D70" s="36" t="s">
        <v>5020</v>
      </c>
      <c r="E70" s="48" t="str">
        <f ca="1">IFERROR(__xludf.DUMMYFUNCTION("GOOGLETRANSLATE(D70)"),"Adobe Lightroom CC + Classic: Master Editing Photos")</f>
        <v>Adobe Lightroom CC + Classic: Master Editing Photos</v>
      </c>
      <c r="F70" s="36" t="s">
        <v>5021</v>
      </c>
      <c r="G70" s="45">
        <v>4.2958245000000002</v>
      </c>
      <c r="H70" s="45">
        <v>15.335000000000001</v>
      </c>
      <c r="I70" s="46" t="s">
        <v>21</v>
      </c>
    </row>
    <row r="71" spans="1:9" ht="12.5">
      <c r="A71" s="41">
        <v>1442180</v>
      </c>
      <c r="B71" s="42" t="s">
        <v>102</v>
      </c>
      <c r="C71" s="43" t="s">
        <v>116</v>
      </c>
      <c r="D71" s="36" t="s">
        <v>5022</v>
      </c>
      <c r="E71" s="48" t="str">
        <f ca="1">IFERROR(__xludf.DUMMYFUNCTION("GOOGLETRANSLATE(D71)"),"Digital Illustration for Beginners in Adobe Illustrator")</f>
        <v>Digital Illustration for Beginners in Adobe Illustrator</v>
      </c>
      <c r="F71" s="36" t="s">
        <v>5023</v>
      </c>
      <c r="G71" s="45">
        <v>4.5791230000000001</v>
      </c>
      <c r="H71" s="45">
        <v>3.025833</v>
      </c>
      <c r="I71" s="46" t="s">
        <v>21</v>
      </c>
    </row>
    <row r="72" spans="1:9" ht="12.5">
      <c r="A72" s="41">
        <v>900338</v>
      </c>
      <c r="B72" s="36" t="s">
        <v>102</v>
      </c>
      <c r="C72" s="36" t="s">
        <v>116</v>
      </c>
      <c r="D72" s="43" t="s">
        <v>5024</v>
      </c>
      <c r="E72" s="44" t="str">
        <f ca="1">IFERROR(__xludf.DUMMYFUNCTION("GOOGLETRANSLATE(D72)"),"Organic Digital Sculpting with ZBrush")</f>
        <v>Organic Digital Sculpting with ZBrush</v>
      </c>
      <c r="F72" s="36" t="s">
        <v>5025</v>
      </c>
      <c r="G72" s="45">
        <v>4.6602693000000004</v>
      </c>
      <c r="H72" s="45">
        <v>27.891387999999999</v>
      </c>
      <c r="I72" s="46" t="s">
        <v>17</v>
      </c>
    </row>
    <row r="73" spans="1:9" ht="12.5">
      <c r="A73" s="47">
        <v>2985084</v>
      </c>
      <c r="B73" s="36" t="s">
        <v>102</v>
      </c>
      <c r="C73" s="36" t="s">
        <v>116</v>
      </c>
      <c r="D73" s="36" t="s">
        <v>5026</v>
      </c>
      <c r="E73" s="48" t="str">
        <f ca="1">IFERROR(__xludf.DUMMYFUNCTION("GOOGLETRANSLATE(D73)"),"Video Editing: Become proficient with Adobe Premiere")</f>
        <v>Video Editing: Become proficient with Adobe Premiere</v>
      </c>
      <c r="F73" s="36" t="s">
        <v>5027</v>
      </c>
      <c r="G73" s="45">
        <v>4.2949424</v>
      </c>
      <c r="H73" s="45">
        <v>5.9327769999999997</v>
      </c>
      <c r="I73" s="46" t="s">
        <v>72</v>
      </c>
    </row>
    <row r="74" spans="1:9" ht="12.5">
      <c r="A74" s="41">
        <v>1461980</v>
      </c>
      <c r="B74" s="42" t="s">
        <v>102</v>
      </c>
      <c r="C74" s="43" t="s">
        <v>116</v>
      </c>
      <c r="D74" s="36" t="s">
        <v>5028</v>
      </c>
      <c r="E74" s="48" t="str">
        <f ca="1">IFERROR(__xludf.DUMMYFUNCTION("GOOGLETRANSLATE(D74)"),"MASTER in Autodesk MAYA | 3D learns from 0 to 100")</f>
        <v>MASTER in Autodesk MAYA | 3D learns from 0 to 100</v>
      </c>
      <c r="F74" s="36" t="s">
        <v>5029</v>
      </c>
      <c r="G74" s="45">
        <v>4.1639103999999998</v>
      </c>
      <c r="H74" s="45">
        <v>49.645553999999997</v>
      </c>
      <c r="I74" s="46" t="s">
        <v>21</v>
      </c>
    </row>
    <row r="75" spans="1:9" ht="12.5">
      <c r="A75" s="47">
        <v>2670118</v>
      </c>
      <c r="B75" s="36" t="s">
        <v>102</v>
      </c>
      <c r="C75" s="36" t="s">
        <v>116</v>
      </c>
      <c r="D75" s="36" t="s">
        <v>5030</v>
      </c>
      <c r="E75" s="48" t="str">
        <f ca="1">IFERROR(__xludf.DUMMYFUNCTION("GOOGLETRANSLATE(D75)"),"Learning Revit 2020 from scratch with a project")</f>
        <v>Learning Revit 2020 from scratch with a project</v>
      </c>
      <c r="F75" s="36" t="s">
        <v>5031</v>
      </c>
      <c r="G75" s="45">
        <v>4.5595759999999999</v>
      </c>
      <c r="H75" s="45">
        <v>12.501666</v>
      </c>
      <c r="I75" s="46" t="s">
        <v>21</v>
      </c>
    </row>
    <row r="76" spans="1:9" ht="12.5">
      <c r="A76" s="41">
        <v>419481</v>
      </c>
      <c r="B76" s="42" t="s">
        <v>102</v>
      </c>
      <c r="C76" s="43" t="s">
        <v>116</v>
      </c>
      <c r="D76" s="43" t="s">
        <v>5032</v>
      </c>
      <c r="E76" s="44" t="str">
        <f ca="1">IFERROR(__xludf.DUMMYFUNCTION("GOOGLETRANSLATE(D76)"),"Learn AutoCAD 2D and 3D Basic and Intermediate.")</f>
        <v>Learn AutoCAD 2D and 3D Basic and Intermediate.</v>
      </c>
      <c r="F76" s="36" t="s">
        <v>5033</v>
      </c>
      <c r="G76" s="45">
        <v>4.3519176999999996</v>
      </c>
      <c r="H76" s="45">
        <v>14.014443999999999</v>
      </c>
      <c r="I76" s="46" t="s">
        <v>21</v>
      </c>
    </row>
    <row r="77" spans="1:9" ht="12.5">
      <c r="A77" s="41">
        <v>1117281</v>
      </c>
      <c r="B77" s="42" t="s">
        <v>102</v>
      </c>
      <c r="C77" s="43" t="s">
        <v>116</v>
      </c>
      <c r="D77" s="36" t="s">
        <v>5034</v>
      </c>
      <c r="E77" s="48" t="str">
        <f ca="1">IFERROR(__xludf.DUMMYFUNCTION("GOOGLETRANSLATE(D77)"),"3D models with SketchUp Pro. 2021 Facilitated by Architect")</f>
        <v>3D models with SketchUp Pro. 2021 Facilitated by Architect</v>
      </c>
      <c r="F77" s="36" t="s">
        <v>5035</v>
      </c>
      <c r="G77" s="45">
        <v>4.5470962999999998</v>
      </c>
      <c r="H77" s="45">
        <v>17.509443000000001</v>
      </c>
      <c r="I77" s="46" t="s">
        <v>21</v>
      </c>
    </row>
    <row r="78" spans="1:9" ht="12.5">
      <c r="A78" s="41">
        <v>1307416</v>
      </c>
      <c r="B78" s="42" t="s">
        <v>102</v>
      </c>
      <c r="C78" s="43" t="s">
        <v>116</v>
      </c>
      <c r="D78" s="43" t="s">
        <v>5036</v>
      </c>
      <c r="E78" s="44" t="str">
        <f ca="1">IFERROR(__xludf.DUMMYFUNCTION("GOOGLETRANSLATE(D78)"),"Blender 2.9x to 2.7x Professional Course + WEB &amp; Unreal Engine")</f>
        <v>Blender 2.9x to 2.7x Professional Course + WEB &amp; Unreal Engine</v>
      </c>
      <c r="F78" s="36" t="s">
        <v>5037</v>
      </c>
      <c r="G78" s="45">
        <v>4.2900739999999997</v>
      </c>
      <c r="H78" s="45">
        <v>48.199165000000001</v>
      </c>
      <c r="I78" s="46" t="s">
        <v>21</v>
      </c>
    </row>
    <row r="79" spans="1:9" ht="12.5">
      <c r="A79" s="41">
        <v>784812</v>
      </c>
      <c r="B79" s="42" t="s">
        <v>102</v>
      </c>
      <c r="C79" s="43" t="s">
        <v>116</v>
      </c>
      <c r="D79" s="36" t="s">
        <v>5038</v>
      </c>
      <c r="E79" s="48" t="str">
        <f ca="1">IFERROR(__xludf.DUMMYFUNCTION("GOOGLETRANSLATE(D79)"),"SketchUp VRay. Basic to Professional Expert (Chaosgroup)")</f>
        <v>SketchUp VRay. Basic to Professional Expert (Chaosgroup)</v>
      </c>
      <c r="F79" s="36" t="s">
        <v>5035</v>
      </c>
      <c r="G79" s="45">
        <v>4.0020790000000002</v>
      </c>
      <c r="H79" s="45">
        <v>19.225276999999998</v>
      </c>
      <c r="I79" s="46" t="s">
        <v>21</v>
      </c>
    </row>
    <row r="80" spans="1:9" ht="12.5">
      <c r="A80" s="47">
        <v>1505418</v>
      </c>
      <c r="B80" s="36" t="s">
        <v>102</v>
      </c>
      <c r="C80" s="36" t="s">
        <v>116</v>
      </c>
      <c r="D80" s="36" t="s">
        <v>5039</v>
      </c>
      <c r="E80" s="48" t="str">
        <f ca="1">IFERROR(__xludf.DUMMYFUNCTION("GOOGLETRANSLATE(D80)"),"SolidWorks course from scratch and Full")</f>
        <v>SolidWorks course from scratch and Full</v>
      </c>
      <c r="F80" s="36" t="s">
        <v>5019</v>
      </c>
      <c r="G80" s="45">
        <v>4.4718733000000004</v>
      </c>
      <c r="H80" s="45">
        <v>5.2052769999999997</v>
      </c>
      <c r="I80" s="46" t="s">
        <v>72</v>
      </c>
    </row>
    <row r="81" spans="1:9" ht="12.5">
      <c r="A81" s="41">
        <v>1784656</v>
      </c>
      <c r="B81" s="36" t="s">
        <v>102</v>
      </c>
      <c r="C81" s="36" t="s">
        <v>116</v>
      </c>
      <c r="D81" s="43" t="s">
        <v>5040</v>
      </c>
      <c r="E81" s="44" t="str">
        <f ca="1">IFERROR(__xludf.DUMMYFUNCTION("GOOGLETRANSLATE(D81)"),"Adobe InDesign CC Masters: From Basic to Professional.")</f>
        <v>Adobe InDesign CC Masters: From Basic to Professional.</v>
      </c>
      <c r="F81" s="36" t="s">
        <v>5041</v>
      </c>
      <c r="G81" s="45">
        <v>4.6074210000000004</v>
      </c>
      <c r="H81" s="45">
        <v>26.206666999999999</v>
      </c>
      <c r="I81" s="46" t="s">
        <v>21</v>
      </c>
    </row>
    <row r="82" spans="1:9" ht="12.5">
      <c r="A82" s="47">
        <v>1426848</v>
      </c>
      <c r="B82" s="36" t="s">
        <v>102</v>
      </c>
      <c r="C82" s="36" t="s">
        <v>116</v>
      </c>
      <c r="D82" s="36" t="s">
        <v>5042</v>
      </c>
      <c r="E82" s="48" t="str">
        <f ca="1">IFERROR(__xludf.DUMMYFUNCTION("GOOGLETRANSLATE(D82)"),"Adobe InDesign CC: Full Course from Scratch")</f>
        <v>Adobe InDesign CC: Full Course from Scratch</v>
      </c>
      <c r="F82" s="36" t="s">
        <v>5019</v>
      </c>
      <c r="G82" s="45">
        <v>3.8981636000000002</v>
      </c>
      <c r="H82" s="45">
        <v>5.0366660000000003</v>
      </c>
      <c r="I82" s="36" t="s">
        <v>21</v>
      </c>
    </row>
    <row r="83" spans="1:9" ht="12.5">
      <c r="A83" s="41">
        <v>1725150</v>
      </c>
      <c r="B83" s="42" t="s">
        <v>102</v>
      </c>
      <c r="C83" s="43" t="s">
        <v>116</v>
      </c>
      <c r="D83" s="36" t="s">
        <v>5043</v>
      </c>
      <c r="E83" s="48" t="str">
        <f ca="1">IFERROR(__xludf.DUMMYFUNCTION("GOOGLETRANSLATE(D83)"),"After Effects CC Masterclass - Actualizado a CC 2020")</f>
        <v>After Effects CC Masterclass - Actualizado a CC 2020</v>
      </c>
      <c r="F83" s="36" t="s">
        <v>5044</v>
      </c>
      <c r="G83" s="45">
        <v>4.4946809999999999</v>
      </c>
      <c r="H83" s="45">
        <v>27.198055</v>
      </c>
      <c r="I83" s="46" t="s">
        <v>21</v>
      </c>
    </row>
    <row r="84" spans="1:9" ht="12.5">
      <c r="A84" s="41">
        <v>1698642</v>
      </c>
      <c r="B84" s="36" t="s">
        <v>102</v>
      </c>
      <c r="C84" s="36" t="s">
        <v>116</v>
      </c>
      <c r="D84" s="43" t="s">
        <v>5045</v>
      </c>
      <c r="E84" s="44" t="str">
        <f ca="1">IFERROR(__xludf.DUMMYFUNCTION("GOOGLETRANSLATE(D84)"),"3ds Max learns from zero to Professional")</f>
        <v>3ds Max learns from zero to Professional</v>
      </c>
      <c r="F84" s="36" t="s">
        <v>5046</v>
      </c>
      <c r="G84" s="45">
        <v>3.9530313000000001</v>
      </c>
      <c r="H84" s="45">
        <v>12.493055</v>
      </c>
      <c r="I84" s="36" t="s">
        <v>21</v>
      </c>
    </row>
    <row r="85" spans="1:9" ht="12.5">
      <c r="A85" s="47">
        <v>1333912</v>
      </c>
      <c r="B85" s="36" t="s">
        <v>102</v>
      </c>
      <c r="C85" s="36" t="s">
        <v>116</v>
      </c>
      <c r="D85" s="36" t="s">
        <v>5047</v>
      </c>
      <c r="E85" s="48" t="str">
        <f ca="1">IFERROR(__xludf.DUMMYFUNCTION("GOOGLETRANSLATE(D85)"),"Learning Revit 2018 from scratch with a project")</f>
        <v>Learning Revit 2018 from scratch with a project</v>
      </c>
      <c r="F85" s="36" t="s">
        <v>5031</v>
      </c>
      <c r="G85" s="45">
        <v>4.4715756999999998</v>
      </c>
      <c r="H85" s="45">
        <v>9.8141660000000002</v>
      </c>
      <c r="I85" s="36" t="s">
        <v>21</v>
      </c>
    </row>
    <row r="86" spans="1:9" ht="12.5">
      <c r="A86" s="47">
        <v>420452</v>
      </c>
      <c r="B86" s="36" t="s">
        <v>102</v>
      </c>
      <c r="C86" s="36" t="s">
        <v>116</v>
      </c>
      <c r="D86" s="36" t="s">
        <v>5048</v>
      </c>
      <c r="E86" s="48" t="str">
        <f ca="1">IFERROR(__xludf.DUMMYFUNCTION("GOOGLETRANSLATE(D86)"),"3D Studio Max: Architectural Spaces")</f>
        <v>3D Studio Max: Architectural Spaces</v>
      </c>
      <c r="F86" s="36" t="s">
        <v>5033</v>
      </c>
      <c r="G86" s="45">
        <v>4.2555794999999996</v>
      </c>
      <c r="H86" s="45">
        <v>23.795276999999999</v>
      </c>
      <c r="I86" s="36" t="s">
        <v>21</v>
      </c>
    </row>
    <row r="87" spans="1:9" ht="12.5">
      <c r="A87" s="41">
        <v>421042</v>
      </c>
      <c r="B87" s="36" t="s">
        <v>102</v>
      </c>
      <c r="C87" s="36" t="s">
        <v>116</v>
      </c>
      <c r="D87" s="36" t="s">
        <v>5049</v>
      </c>
      <c r="E87" s="48" t="str">
        <f ca="1">IFERROR(__xludf.DUMMYFUNCTION("GOOGLETRANSLATE(D87)"),"Learn Revit: oriented architecture")</f>
        <v>Learn Revit: oriented architecture</v>
      </c>
      <c r="F87" s="36" t="s">
        <v>5033</v>
      </c>
      <c r="G87" s="45">
        <v>4.3282503999999999</v>
      </c>
      <c r="H87" s="45">
        <v>17.206666999999999</v>
      </c>
      <c r="I87" s="36" t="s">
        <v>21</v>
      </c>
    </row>
    <row r="88" spans="1:9" ht="12.5">
      <c r="A88" s="47">
        <v>1292146</v>
      </c>
      <c r="B88" s="36" t="s">
        <v>102</v>
      </c>
      <c r="C88" s="36" t="s">
        <v>116</v>
      </c>
      <c r="D88" s="36" t="s">
        <v>5050</v>
      </c>
      <c r="E88" s="48" t="str">
        <f ca="1">IFERROR(__xludf.DUMMYFUNCTION("GOOGLETRANSLATE(D88)"),"Navisworks Manage 2018. Tool BIM Coordinator")</f>
        <v>Navisworks Manage 2018. Tool BIM Coordinator</v>
      </c>
      <c r="F88" s="36" t="s">
        <v>5031</v>
      </c>
      <c r="G88" s="45">
        <v>4.4483604000000003</v>
      </c>
      <c r="H88" s="45">
        <v>4.2683330000000002</v>
      </c>
      <c r="I88" s="36" t="s">
        <v>21</v>
      </c>
    </row>
    <row r="89" spans="1:9" ht="12.5">
      <c r="A89" s="47">
        <v>1635870</v>
      </c>
      <c r="B89" s="36" t="s">
        <v>102</v>
      </c>
      <c r="C89" s="36" t="s">
        <v>116</v>
      </c>
      <c r="D89" s="36" t="s">
        <v>5051</v>
      </c>
      <c r="E89" s="48" t="str">
        <f ca="1">IFERROR(__xludf.DUMMYFUNCTION("GOOGLETRANSLATE(D89)"),"Using BIM in your projects")</f>
        <v>Using BIM in your projects</v>
      </c>
      <c r="F89" s="36" t="s">
        <v>5052</v>
      </c>
      <c r="G89" s="45">
        <v>4.6658387000000001</v>
      </c>
      <c r="H89" s="45">
        <v>7.7447220000000003</v>
      </c>
      <c r="I89" s="36" t="s">
        <v>72</v>
      </c>
    </row>
    <row r="90" spans="1:9" ht="12.5">
      <c r="A90" s="47">
        <v>860984</v>
      </c>
      <c r="B90" s="36" t="s">
        <v>102</v>
      </c>
      <c r="C90" s="36" t="s">
        <v>2629</v>
      </c>
      <c r="D90" s="36" t="s">
        <v>5053</v>
      </c>
      <c r="E90" s="48" t="str">
        <f ca="1">IFERROR(__xludf.DUMMYFUNCTION("GOOGLETRANSLATE(D90)"),"Blender 2.9x: Modeling and texturing focused on video games")</f>
        <v>Blender 2.9x: Modeling and texturing focused on video games</v>
      </c>
      <c r="F90" s="36" t="s">
        <v>5025</v>
      </c>
      <c r="G90" s="45">
        <v>4.5746070000000003</v>
      </c>
      <c r="H90" s="45">
        <v>44.625279999999997</v>
      </c>
      <c r="I90" s="36" t="s">
        <v>17</v>
      </c>
    </row>
    <row r="91" spans="1:9" ht="12.5">
      <c r="A91" s="41">
        <v>1318360</v>
      </c>
      <c r="B91" s="36" t="s">
        <v>102</v>
      </c>
      <c r="C91" s="36" t="s">
        <v>2629</v>
      </c>
      <c r="D91" s="43" t="s">
        <v>5054</v>
      </c>
      <c r="E91" s="44" t="str">
        <f ca="1">IFERROR(__xludf.DUMMYFUNCTION("GOOGLETRANSLATE(D91)"),"Narrative course design and game script")</f>
        <v>Narrative course design and game script</v>
      </c>
      <c r="F91" s="36" t="s">
        <v>5055</v>
      </c>
      <c r="G91" s="45">
        <v>4.4813885999999998</v>
      </c>
      <c r="H91" s="45">
        <v>6.0658329999999996</v>
      </c>
      <c r="I91" s="36" t="s">
        <v>21</v>
      </c>
    </row>
    <row r="92" spans="1:9" ht="12.5">
      <c r="A92" s="47">
        <v>1330276</v>
      </c>
      <c r="B92" s="36" t="s">
        <v>102</v>
      </c>
      <c r="C92" s="36" t="s">
        <v>110</v>
      </c>
      <c r="D92" s="36" t="s">
        <v>5056</v>
      </c>
      <c r="E92" s="48" t="str">
        <f ca="1">IFERROR(__xludf.DUMMYFUNCTION("GOOGLETRANSLATE(D92)"),"Master Digital Design with Adobe Photoshop CC 2019 + 30 hours")</f>
        <v>Master Digital Design with Adobe Photoshop CC 2019 + 30 hours</v>
      </c>
      <c r="F92" s="36" t="s">
        <v>5017</v>
      </c>
      <c r="G92" s="45">
        <v>4.5506286999999999</v>
      </c>
      <c r="H92" s="45">
        <v>28.21611</v>
      </c>
      <c r="I92" s="36" t="s">
        <v>21</v>
      </c>
    </row>
    <row r="93" spans="1:9" ht="12.5">
      <c r="A93" s="47">
        <v>1725152</v>
      </c>
      <c r="B93" s="36" t="s">
        <v>102</v>
      </c>
      <c r="C93" s="36" t="s">
        <v>110</v>
      </c>
      <c r="D93" s="36" t="s">
        <v>5057</v>
      </c>
      <c r="E93" s="48" t="str">
        <f ca="1">IFERROR(__xludf.DUMMYFUNCTION("GOOGLETRANSLATE(D93)"),"Adobe Premiere Pro CC for Beginners: Video Editing")</f>
        <v>Adobe Premiere Pro CC for Beginners: Video Editing</v>
      </c>
      <c r="F93" s="36" t="s">
        <v>5044</v>
      </c>
      <c r="G93" s="45">
        <v>4.4856876999999997</v>
      </c>
      <c r="H93" s="45">
        <v>12.828333000000001</v>
      </c>
      <c r="I93" s="36" t="s">
        <v>17</v>
      </c>
    </row>
    <row r="94" spans="1:9" ht="12.5">
      <c r="A94" s="41">
        <v>1361684</v>
      </c>
      <c r="B94" s="36" t="s">
        <v>102</v>
      </c>
      <c r="C94" s="36" t="s">
        <v>110</v>
      </c>
      <c r="D94" s="43" t="s">
        <v>5058</v>
      </c>
      <c r="E94" s="44" t="str">
        <f ca="1">IFERROR(__xludf.DUMMYFUNCTION("GOOGLETRANSLATE(D94)"),"Graphic Design Course Completed")</f>
        <v>Graphic Design Course Completed</v>
      </c>
      <c r="F94" s="36" t="s">
        <v>2557</v>
      </c>
      <c r="G94" s="45">
        <v>4.3094815999999998</v>
      </c>
      <c r="H94" s="45">
        <v>15.036111</v>
      </c>
      <c r="I94" s="36" t="s">
        <v>21</v>
      </c>
    </row>
    <row r="95" spans="1:9" ht="12.5">
      <c r="A95" s="41">
        <v>501140</v>
      </c>
      <c r="B95" s="36" t="s">
        <v>102</v>
      </c>
      <c r="C95" s="36" t="s">
        <v>110</v>
      </c>
      <c r="D95" s="43" t="s">
        <v>5059</v>
      </c>
      <c r="E95" s="44" t="str">
        <f ca="1">IFERROR(__xludf.DUMMYFUNCTION("GOOGLETRANSLATE(D95)"),"Illustrator CC for beginners: from zero to expert!")</f>
        <v>Illustrator CC for beginners: from zero to expert!</v>
      </c>
      <c r="F95" s="36" t="s">
        <v>5060</v>
      </c>
      <c r="G95" s="45">
        <v>4.4692679999999996</v>
      </c>
      <c r="H95" s="45">
        <v>11.087777000000001</v>
      </c>
      <c r="I95" s="36" t="s">
        <v>21</v>
      </c>
    </row>
    <row r="96" spans="1:9" ht="12.5">
      <c r="A96" s="47">
        <v>68618</v>
      </c>
      <c r="B96" s="36" t="s">
        <v>102</v>
      </c>
      <c r="C96" s="36" t="s">
        <v>110</v>
      </c>
      <c r="D96" s="36" t="s">
        <v>5061</v>
      </c>
      <c r="E96" s="48" t="str">
        <f ca="1">IFERROR(__xludf.DUMMYFUNCTION("GOOGLETRANSLATE(D96)"),"Adobe Photoshop Lightroom")</f>
        <v>Adobe Photoshop Lightroom</v>
      </c>
      <c r="F96" s="36" t="s">
        <v>5062</v>
      </c>
      <c r="G96" s="45">
        <v>4.7527330000000001</v>
      </c>
      <c r="H96" s="45">
        <v>6.265555</v>
      </c>
      <c r="I96" s="36" t="s">
        <v>21</v>
      </c>
    </row>
    <row r="97" spans="1:9" ht="12.5">
      <c r="A97" s="41">
        <v>1559396</v>
      </c>
      <c r="B97" s="36" t="s">
        <v>102</v>
      </c>
      <c r="C97" s="36" t="s">
        <v>110</v>
      </c>
      <c r="D97" s="43" t="s">
        <v>5063</v>
      </c>
      <c r="E97" s="44" t="str">
        <f ca="1">IFERROR(__xludf.DUMMYFUNCTION("GOOGLETRANSLATE(D97)"),"Adobe Illustrator CC Master: Basic to Professional.")</f>
        <v>Adobe Illustrator CC Master: Basic to Professional.</v>
      </c>
      <c r="F97" s="36" t="s">
        <v>5041</v>
      </c>
      <c r="G97" s="45">
        <v>4.6120415000000001</v>
      </c>
      <c r="H97" s="45">
        <v>33.939166999999998</v>
      </c>
      <c r="I97" s="36" t="s">
        <v>21</v>
      </c>
    </row>
    <row r="98" spans="1:9" ht="12.5">
      <c r="A98" s="41">
        <v>276680</v>
      </c>
      <c r="B98" s="36" t="s">
        <v>102</v>
      </c>
      <c r="C98" s="36" t="s">
        <v>110</v>
      </c>
      <c r="D98" s="43" t="s">
        <v>5064</v>
      </c>
      <c r="E98" s="44" t="str">
        <f ca="1">IFERROR(__xludf.DUMMYFUNCTION("GOOGLETRANSLATE(D98)"),"How to Design Logos")</f>
        <v>How to Design Logos</v>
      </c>
      <c r="F98" s="36" t="s">
        <v>5065</v>
      </c>
      <c r="G98" s="45">
        <v>4.5224323000000002</v>
      </c>
      <c r="H98" s="45">
        <v>3.5705550000000001</v>
      </c>
      <c r="I98" s="36" t="s">
        <v>17</v>
      </c>
    </row>
    <row r="99" spans="1:9" ht="12.5">
      <c r="A99" s="41">
        <v>2641122</v>
      </c>
      <c r="B99" s="36" t="s">
        <v>102</v>
      </c>
      <c r="C99" s="36" t="s">
        <v>110</v>
      </c>
      <c r="D99" s="43" t="s">
        <v>5066</v>
      </c>
      <c r="E99" s="44" t="str">
        <f ca="1">IFERROR(__xludf.DUMMYFUNCTION("GOOGLETRANSLATE(D99)"),"Course Master of Canva | Designed as a professional with Canva")</f>
        <v>Course Master of Canva | Designed as a professional with Canva</v>
      </c>
      <c r="F99" s="36" t="s">
        <v>5067</v>
      </c>
      <c r="G99" s="45">
        <v>4.5624174999999996</v>
      </c>
      <c r="H99" s="45">
        <v>6.824166</v>
      </c>
      <c r="I99" s="36" t="s">
        <v>17</v>
      </c>
    </row>
    <row r="100" spans="1:9" ht="12.5">
      <c r="A100" s="41">
        <v>1261874</v>
      </c>
      <c r="B100" s="36" t="s">
        <v>102</v>
      </c>
      <c r="C100" s="36" t="s">
        <v>110</v>
      </c>
      <c r="D100" s="43" t="s">
        <v>5068</v>
      </c>
      <c r="E100" s="44" t="str">
        <f ca="1">IFERROR(__xludf.DUMMYFUNCTION("GOOGLETRANSLATE(D100)"),"Graphic Design and Audiovisual: Master Course")</f>
        <v>Graphic Design and Audiovisual: Master Course</v>
      </c>
      <c r="F100" s="36" t="s">
        <v>5069</v>
      </c>
      <c r="G100" s="45">
        <v>4.2662177000000003</v>
      </c>
      <c r="H100" s="45">
        <v>17.667221000000001</v>
      </c>
      <c r="I100" s="36" t="s">
        <v>21</v>
      </c>
    </row>
    <row r="101" spans="1:9" ht="12.5">
      <c r="A101" s="41">
        <v>1304386</v>
      </c>
      <c r="B101" s="42" t="s">
        <v>102</v>
      </c>
      <c r="C101" s="43" t="s">
        <v>110</v>
      </c>
      <c r="D101" s="36" t="s">
        <v>5070</v>
      </c>
      <c r="E101" s="48" t="str">
        <f ca="1">IFERROR(__xludf.DUMMYFUNCTION("GOOGLETRANSLATE(D101)"),"Web and mobile design Sketch")</f>
        <v>Web and mobile design Sketch</v>
      </c>
      <c r="F101" s="36" t="s">
        <v>5071</v>
      </c>
      <c r="G101" s="45">
        <v>4.7254123999999997</v>
      </c>
      <c r="H101" s="45">
        <v>4.5719440000000002</v>
      </c>
      <c r="I101" s="46" t="s">
        <v>17</v>
      </c>
    </row>
    <row r="102" spans="1:9" ht="12.5">
      <c r="A102" s="41">
        <v>1461866</v>
      </c>
      <c r="B102" s="42" t="s">
        <v>102</v>
      </c>
      <c r="C102" s="43" t="s">
        <v>110</v>
      </c>
      <c r="D102" s="43" t="s">
        <v>5072</v>
      </c>
      <c r="E102" s="44" t="str">
        <f ca="1">IFERROR(__xludf.DUMMYFUNCTION("GOOGLETRANSLATE(D102)"),"Canva Graphics Design Professionals in Real Projects")</f>
        <v>Canva Graphics Design Professionals in Real Projects</v>
      </c>
      <c r="F102" s="36" t="s">
        <v>5073</v>
      </c>
      <c r="G102" s="45">
        <v>4.3280339999999997</v>
      </c>
      <c r="H102" s="45">
        <v>3.104444</v>
      </c>
      <c r="I102" s="46" t="s">
        <v>21</v>
      </c>
    </row>
    <row r="103" spans="1:9" ht="12.5">
      <c r="A103" s="41">
        <v>1702150</v>
      </c>
      <c r="B103" s="36" t="s">
        <v>102</v>
      </c>
      <c r="C103" s="36" t="s">
        <v>110</v>
      </c>
      <c r="D103" s="36" t="s">
        <v>5074</v>
      </c>
      <c r="E103" s="48" t="str">
        <f ca="1">IFERROR(__xludf.DUMMYFUNCTION("GOOGLETRANSLATE(D103)"),"LayOut for SketchUp. Advanced design presentations.")</f>
        <v>LayOut for SketchUp. Advanced design presentations.</v>
      </c>
      <c r="F103" s="36" t="s">
        <v>5035</v>
      </c>
      <c r="G103" s="45">
        <v>4.4543385999999998</v>
      </c>
      <c r="H103" s="45">
        <v>10.590277</v>
      </c>
      <c r="I103" s="46" t="s">
        <v>21</v>
      </c>
    </row>
    <row r="104" spans="1:9" ht="12.5">
      <c r="A104" s="47">
        <v>1972358</v>
      </c>
      <c r="B104" s="36" t="s">
        <v>102</v>
      </c>
      <c r="C104" s="36" t="s">
        <v>106</v>
      </c>
      <c r="D104" s="36" t="s">
        <v>5075</v>
      </c>
      <c r="E104" s="48" t="str">
        <f ca="1">IFERROR(__xludf.DUMMYFUNCTION("GOOGLETRANSLATE(D104)"),"Adobe XD CC - Master: Professional design prototypes.")</f>
        <v>Adobe XD CC - Master: Professional design prototypes.</v>
      </c>
      <c r="F104" s="36" t="s">
        <v>5041</v>
      </c>
      <c r="G104" s="45">
        <v>4.5836062000000002</v>
      </c>
      <c r="H104" s="45">
        <v>17.109165000000001</v>
      </c>
      <c r="I104" s="46" t="s">
        <v>21</v>
      </c>
    </row>
    <row r="105" spans="1:9" ht="12.5">
      <c r="A105" s="47">
        <v>1754560</v>
      </c>
      <c r="B105" s="36" t="s">
        <v>102</v>
      </c>
      <c r="C105" s="36" t="s">
        <v>106</v>
      </c>
      <c r="D105" s="36" t="s">
        <v>5076</v>
      </c>
      <c r="E105" s="48" t="str">
        <f ca="1">IFERROR(__xludf.DUMMYFUNCTION("GOOGLETRANSLATE(D105)"),"Adobe XD: Learn to create professional prototypes from 0")</f>
        <v>Adobe XD: Learn to create professional prototypes from 0</v>
      </c>
      <c r="F105" s="36" t="s">
        <v>5077</v>
      </c>
      <c r="G105" s="45">
        <v>4.7761779999999998</v>
      </c>
      <c r="H105" s="45">
        <v>5.4327769999999997</v>
      </c>
      <c r="I105" s="36" t="s">
        <v>17</v>
      </c>
    </row>
    <row r="106" spans="1:9" ht="12.5">
      <c r="A106" s="41">
        <v>1410468</v>
      </c>
      <c r="B106" s="42" t="s">
        <v>102</v>
      </c>
      <c r="C106" s="43" t="s">
        <v>106</v>
      </c>
      <c r="D106" s="36" t="s">
        <v>5078</v>
      </c>
      <c r="E106" s="48" t="str">
        <f ca="1">IFERROR(__xludf.DUMMYFUNCTION("GOOGLETRANSLATE(D106)"),"Adobe Professional course XD")</f>
        <v>Adobe Professional course XD</v>
      </c>
      <c r="F106" s="36" t="s">
        <v>5071</v>
      </c>
      <c r="G106" s="45">
        <v>4.4471179999999997</v>
      </c>
      <c r="H106" s="45">
        <v>2.2227769999999998</v>
      </c>
      <c r="I106" s="46" t="s">
        <v>17</v>
      </c>
    </row>
    <row r="107" spans="1:9" ht="12.5">
      <c r="A107" s="41">
        <v>1915568</v>
      </c>
      <c r="B107" s="36" t="s">
        <v>102</v>
      </c>
      <c r="C107" s="36" t="s">
        <v>106</v>
      </c>
      <c r="D107" s="43" t="s">
        <v>5079</v>
      </c>
      <c r="E107" s="44" t="str">
        <f ca="1">IFERROR(__xludf.DUMMYFUNCTION("GOOGLETRANSLATE(D107)"),"UX design HTML5 and CSS3 + Easy and practical!")</f>
        <v>UX design HTML5 and CSS3 + Easy and practical!</v>
      </c>
      <c r="F107" s="36" t="s">
        <v>5080</v>
      </c>
      <c r="G107" s="45">
        <v>4.0999822999999997</v>
      </c>
      <c r="H107" s="45">
        <v>7.7138879999999999</v>
      </c>
      <c r="I107" s="36" t="s">
        <v>17</v>
      </c>
    </row>
    <row r="108" spans="1:9" ht="12.5">
      <c r="A108" s="41">
        <v>3276404</v>
      </c>
      <c r="B108" s="36" t="s">
        <v>102</v>
      </c>
      <c r="C108" s="36" t="s">
        <v>106</v>
      </c>
      <c r="D108" s="43" t="s">
        <v>5081</v>
      </c>
      <c r="E108" s="44" t="str">
        <f ca="1">IFERROR(__xludf.DUMMYFUNCTION("GOOGLETRANSLATE(D108)"),"UX / UI prototyping and digital")</f>
        <v>UX / UI prototyping and digital</v>
      </c>
      <c r="F108" s="36" t="s">
        <v>5082</v>
      </c>
      <c r="G108" s="45">
        <v>4.6153089999999999</v>
      </c>
      <c r="H108" s="45">
        <v>6.2113880000000004</v>
      </c>
      <c r="I108" s="46" t="s">
        <v>17</v>
      </c>
    </row>
    <row r="109" spans="1:9" ht="12.5">
      <c r="A109" s="41">
        <v>2583090</v>
      </c>
      <c r="B109" s="42" t="s">
        <v>102</v>
      </c>
      <c r="C109" s="43" t="s">
        <v>106</v>
      </c>
      <c r="D109" s="43" t="s">
        <v>5083</v>
      </c>
      <c r="E109" s="44" t="str">
        <f ca="1">IFERROR(__xludf.DUMMYFUNCTION("GOOGLETRANSLATE(D109)"),"Adobe professional course XD: Zero to expert!")</f>
        <v>Adobe professional course XD: Zero to expert!</v>
      </c>
      <c r="F109" s="36" t="s">
        <v>5084</v>
      </c>
      <c r="G109" s="45">
        <v>4.4412739999999999</v>
      </c>
      <c r="H109" s="45">
        <v>10.509722</v>
      </c>
      <c r="I109" s="46" t="s">
        <v>21</v>
      </c>
    </row>
    <row r="110" spans="1:9" ht="12.5">
      <c r="A110" s="47">
        <v>1890922</v>
      </c>
      <c r="B110" s="36" t="s">
        <v>102</v>
      </c>
      <c r="C110" s="36" t="s">
        <v>103</v>
      </c>
      <c r="D110" s="36" t="s">
        <v>5085</v>
      </c>
      <c r="E110" s="48" t="str">
        <f ca="1">IFERROR(__xludf.DUMMYFUNCTION("GOOGLETRANSLATE(D110)"),"UX: Master in Web Design and User Experience")</f>
        <v>UX: Master in Web Design and User Experience</v>
      </c>
      <c r="F110" s="36" t="s">
        <v>5086</v>
      </c>
      <c r="G110" s="45">
        <v>4.2856325999999996</v>
      </c>
      <c r="H110" s="45">
        <v>4.9694440000000002</v>
      </c>
      <c r="I110" s="46" t="s">
        <v>21</v>
      </c>
    </row>
    <row r="111" spans="1:9" ht="12.5">
      <c r="A111" s="41">
        <v>1018788</v>
      </c>
      <c r="B111" s="36" t="s">
        <v>102</v>
      </c>
      <c r="C111" s="36" t="s">
        <v>103</v>
      </c>
      <c r="D111" s="43" t="s">
        <v>5087</v>
      </c>
      <c r="E111" s="44" t="str">
        <f ca="1">IFERROR(__xludf.DUMMYFUNCTION("GOOGLETRANSLATE(D111)"),"Master of Design Web Responsive (not programmers)")</f>
        <v>Master of Design Web Responsive (not programmers)</v>
      </c>
      <c r="F111" s="36" t="s">
        <v>5088</v>
      </c>
      <c r="G111" s="45">
        <v>4.315817</v>
      </c>
      <c r="H111" s="45">
        <v>15.548610999999999</v>
      </c>
      <c r="I111" s="46" t="s">
        <v>17</v>
      </c>
    </row>
    <row r="112" spans="1:9" ht="12.5">
      <c r="A112" s="41">
        <v>996572</v>
      </c>
      <c r="B112" s="42" t="s">
        <v>102</v>
      </c>
      <c r="C112" s="43" t="s">
        <v>103</v>
      </c>
      <c r="D112" s="36" t="s">
        <v>5089</v>
      </c>
      <c r="E112" s="48" t="str">
        <f ca="1">IFERROR(__xludf.DUMMYFUNCTION("GOOGLETRANSLATE(D112)"),"Create sites with Joomla Extraordinary for Business Gantry")</f>
        <v>Create sites with Joomla Extraordinary for Business Gantry</v>
      </c>
      <c r="F112" s="36" t="s">
        <v>5088</v>
      </c>
      <c r="G112" s="45">
        <v>4.8403559999999999</v>
      </c>
      <c r="H112" s="45">
        <v>18.178888000000001</v>
      </c>
      <c r="I112" s="46" t="s">
        <v>17</v>
      </c>
    </row>
    <row r="113" spans="1:9" ht="12.5">
      <c r="A113" s="41">
        <v>1743488</v>
      </c>
      <c r="B113" s="36" t="s">
        <v>225</v>
      </c>
      <c r="C113" s="36" t="s">
        <v>288</v>
      </c>
      <c r="D113" s="43" t="s">
        <v>5090</v>
      </c>
      <c r="E113" s="44" t="str">
        <f ca="1">IFERROR(__xludf.DUMMYFUNCTION("GOOGLETRANSLATE(D113)"),"SQL - Complete Course Databases - from 0 to Advanced")</f>
        <v>SQL - Complete Course Databases - from 0 to Advanced</v>
      </c>
      <c r="F113" s="36" t="s">
        <v>5091</v>
      </c>
      <c r="G113" s="45">
        <v>4.5234610000000002</v>
      </c>
      <c r="H113" s="45">
        <v>21.596111000000001</v>
      </c>
      <c r="I113" s="46" t="s">
        <v>21</v>
      </c>
    </row>
    <row r="114" spans="1:9" ht="12.5">
      <c r="A114" s="47">
        <v>1311142</v>
      </c>
      <c r="B114" s="36" t="s">
        <v>225</v>
      </c>
      <c r="C114" s="36" t="s">
        <v>288</v>
      </c>
      <c r="D114" s="36" t="s">
        <v>5092</v>
      </c>
      <c r="E114" s="48" t="str">
        <f ca="1">IFERROR(__xludf.DUMMYFUNCTION("GOOGLETRANSLATE(D114)"),"Learn Oracle PL / SQL From Scratch")</f>
        <v>Learn Oracle PL / SQL From Scratch</v>
      </c>
      <c r="F114" s="36" t="s">
        <v>4961</v>
      </c>
      <c r="G114" s="45">
        <v>4.5084679999999997</v>
      </c>
      <c r="H114" s="45">
        <v>8.6158330000000003</v>
      </c>
      <c r="I114" s="46" t="s">
        <v>21</v>
      </c>
    </row>
    <row r="115" spans="1:9" ht="12.5">
      <c r="A115" s="41">
        <v>1540912</v>
      </c>
      <c r="B115" s="36" t="s">
        <v>225</v>
      </c>
      <c r="C115" s="36" t="s">
        <v>288</v>
      </c>
      <c r="D115" s="43" t="s">
        <v>5093</v>
      </c>
      <c r="E115" s="44" t="str">
        <f ca="1">IFERROR(__xludf.DUMMYFUNCTION("GOOGLETRANSLATE(D115)"),"Learn Oracle SQL from scratch")</f>
        <v>Learn Oracle SQL from scratch</v>
      </c>
      <c r="F115" s="36" t="s">
        <v>4961</v>
      </c>
      <c r="G115" s="45">
        <v>4.6032400000000004</v>
      </c>
      <c r="H115" s="45">
        <v>12.24</v>
      </c>
      <c r="I115" s="46" t="s">
        <v>21</v>
      </c>
    </row>
    <row r="116" spans="1:9" ht="12.5">
      <c r="A116" s="41">
        <v>687118</v>
      </c>
      <c r="B116" s="42" t="s">
        <v>225</v>
      </c>
      <c r="C116" s="43" t="s">
        <v>288</v>
      </c>
      <c r="D116" s="36" t="s">
        <v>5094</v>
      </c>
      <c r="E116" s="48" t="str">
        <f ca="1">IFERROR(__xludf.DUMMYFUNCTION("GOOGLETRANSLATE(D116)"),"PL / SQL ORACLE in Spanish")</f>
        <v>PL / SQL ORACLE in Spanish</v>
      </c>
      <c r="F116" s="36" t="s">
        <v>5095</v>
      </c>
      <c r="G116" s="45">
        <v>4.5030570000000001</v>
      </c>
      <c r="H116" s="45">
        <v>3.3941659999999998</v>
      </c>
      <c r="I116" s="46" t="s">
        <v>17</v>
      </c>
    </row>
    <row r="117" spans="1:9" ht="12.5">
      <c r="A117" s="41">
        <v>1786172</v>
      </c>
      <c r="B117" s="42" t="s">
        <v>225</v>
      </c>
      <c r="C117" s="43" t="s">
        <v>288</v>
      </c>
      <c r="D117" s="36" t="s">
        <v>5096</v>
      </c>
      <c r="E117" s="48" t="str">
        <f ca="1">IFERROR(__xludf.DUMMYFUNCTION("GOOGLETRANSLATE(D117)"),"SQL Basic - Intermediate Add value to your CV in 2 hours!")</f>
        <v>SQL Basic - Intermediate Add value to your CV in 2 hours!</v>
      </c>
      <c r="F117" s="36" t="s">
        <v>5097</v>
      </c>
      <c r="G117" s="45">
        <v>4.4191019999999996</v>
      </c>
      <c r="H117" s="45">
        <v>1.396944</v>
      </c>
      <c r="I117" s="46" t="s">
        <v>21</v>
      </c>
    </row>
    <row r="118" spans="1:9" ht="12.5">
      <c r="A118" s="47">
        <v>1591370</v>
      </c>
      <c r="B118" s="36" t="s">
        <v>225</v>
      </c>
      <c r="C118" s="36" t="s">
        <v>288</v>
      </c>
      <c r="D118" s="36" t="s">
        <v>5098</v>
      </c>
      <c r="E118" s="48" t="str">
        <f ca="1">IFERROR(__xludf.DUMMYFUNCTION("GOOGLETRANSLATE(D118)"),"Blockchain and Bitcoin: Essential Basics")</f>
        <v>Blockchain and Bitcoin: Essential Basics</v>
      </c>
      <c r="F118" s="36" t="s">
        <v>5099</v>
      </c>
      <c r="G118" s="45">
        <v>4.5184226000000001</v>
      </c>
      <c r="H118" s="45">
        <v>1.364444</v>
      </c>
      <c r="I118" s="36" t="s">
        <v>17</v>
      </c>
    </row>
    <row r="119" spans="1:9" ht="12.5">
      <c r="A119" s="41">
        <v>1281114</v>
      </c>
      <c r="B119" s="36" t="s">
        <v>225</v>
      </c>
      <c r="C119" s="36" t="s">
        <v>288</v>
      </c>
      <c r="D119" s="43" t="s">
        <v>5100</v>
      </c>
      <c r="E119" s="44" t="str">
        <f ca="1">IFERROR(__xludf.DUMMYFUNCTION("GOOGLETRANSLATE(D119)"),"Oracle Weblogic from Scratch")</f>
        <v>Oracle Weblogic from Scratch</v>
      </c>
      <c r="F119" s="36" t="s">
        <v>4961</v>
      </c>
      <c r="G119" s="45">
        <v>4.5919236999999997</v>
      </c>
      <c r="H119" s="45">
        <v>14.179722</v>
      </c>
      <c r="I119" s="46" t="s">
        <v>21</v>
      </c>
    </row>
    <row r="120" spans="1:9" ht="12.5">
      <c r="A120" s="41">
        <v>1395118</v>
      </c>
      <c r="B120" s="36" t="s">
        <v>225</v>
      </c>
      <c r="C120" s="36" t="s">
        <v>288</v>
      </c>
      <c r="D120" s="43" t="s">
        <v>5101</v>
      </c>
      <c r="E120" s="44" t="str">
        <f ca="1">IFERROR(__xludf.DUMMYFUNCTION("GOOGLETRANSLATE(D120)"),"Design of Relational Databases")</f>
        <v>Design of Relational Databases</v>
      </c>
      <c r="F120" s="36" t="s">
        <v>5102</v>
      </c>
      <c r="G120" s="45">
        <v>4.6042433000000003</v>
      </c>
      <c r="H120" s="45">
        <v>10.962777000000001</v>
      </c>
      <c r="I120" s="46" t="s">
        <v>21</v>
      </c>
    </row>
    <row r="121" spans="1:9" ht="12.5">
      <c r="A121" s="41">
        <v>1539258</v>
      </c>
      <c r="B121" s="42" t="s">
        <v>225</v>
      </c>
      <c r="C121" s="43" t="s">
        <v>288</v>
      </c>
      <c r="D121" s="43" t="s">
        <v>5103</v>
      </c>
      <c r="E121" s="44" t="str">
        <f ca="1">IFERROR(__xludf.DUMMYFUNCTION("GOOGLETRANSLATE(D121)"),"Course MySQL zero to expert View 5.7 and 8 Linux Act 2020")</f>
        <v>Course MySQL zero to expert View 5.7 and 8 Linux Act 2020</v>
      </c>
      <c r="F121" s="36" t="s">
        <v>5104</v>
      </c>
      <c r="G121" s="45">
        <v>4.4557886</v>
      </c>
      <c r="H121" s="45">
        <v>18.770555000000002</v>
      </c>
      <c r="I121" s="46" t="s">
        <v>21</v>
      </c>
    </row>
    <row r="122" spans="1:9" ht="12.5">
      <c r="A122" s="41">
        <v>1822182</v>
      </c>
      <c r="B122" s="36" t="s">
        <v>225</v>
      </c>
      <c r="C122" s="36" t="s">
        <v>288</v>
      </c>
      <c r="D122" s="43" t="s">
        <v>5105</v>
      </c>
      <c r="E122" s="44" t="str">
        <f ca="1">IFERROR(__xludf.DUMMYFUNCTION("GOOGLETRANSLATE(D122)"),"Become a developer Blockchain with ethereum")</f>
        <v>Become a developer Blockchain with ethereum</v>
      </c>
      <c r="F122" s="36" t="s">
        <v>5106</v>
      </c>
      <c r="G122" s="45">
        <v>4.3404702999999998</v>
      </c>
      <c r="H122" s="45">
        <v>7.1641659999999998</v>
      </c>
      <c r="I122" s="46" t="s">
        <v>72</v>
      </c>
    </row>
    <row r="123" spans="1:9" ht="12.5">
      <c r="A123" s="47">
        <v>919422</v>
      </c>
      <c r="B123" s="36" t="s">
        <v>225</v>
      </c>
      <c r="C123" s="36" t="s">
        <v>288</v>
      </c>
      <c r="D123" s="36" t="s">
        <v>5107</v>
      </c>
      <c r="E123" s="48" t="str">
        <f ca="1">IFERROR(__xludf.DUMMYFUNCTION("GOOGLETRANSLATE(D123)"),"SQL Server: dominates necessary for work")</f>
        <v>SQL Server: dominates necessary for work</v>
      </c>
      <c r="F123" s="36" t="s">
        <v>5108</v>
      </c>
      <c r="G123" s="45">
        <v>4.3159900000000002</v>
      </c>
      <c r="H123" s="45">
        <v>2.328611</v>
      </c>
      <c r="I123" s="46" t="s">
        <v>21</v>
      </c>
    </row>
    <row r="124" spans="1:9" ht="12.5">
      <c r="A124" s="41">
        <v>2401256</v>
      </c>
      <c r="B124" s="42" t="s">
        <v>225</v>
      </c>
      <c r="C124" s="43" t="s">
        <v>288</v>
      </c>
      <c r="D124" s="43" t="s">
        <v>5109</v>
      </c>
      <c r="E124" s="44" t="str">
        <f ca="1">IFERROR(__xludf.DUMMYFUNCTION("GOOGLETRANSLATE(D124)"),"Professional sales system in C # and SQLserver")</f>
        <v>Professional sales system in C # and SQLserver</v>
      </c>
      <c r="F124" s="36" t="s">
        <v>5110</v>
      </c>
      <c r="G124" s="45">
        <v>4.3007669999999996</v>
      </c>
      <c r="H124" s="45">
        <v>91.086389999999994</v>
      </c>
      <c r="I124" s="46" t="s">
        <v>21</v>
      </c>
    </row>
    <row r="125" spans="1:9" ht="12.5">
      <c r="A125" s="41">
        <v>2252416</v>
      </c>
      <c r="B125" s="36" t="s">
        <v>225</v>
      </c>
      <c r="C125" s="36" t="s">
        <v>288</v>
      </c>
      <c r="D125" s="36" t="s">
        <v>5111</v>
      </c>
      <c r="E125" s="48" t="str">
        <f ca="1">IFERROR(__xludf.DUMMYFUNCTION("GOOGLETRANSLATE(D125)"),"Asset Inventory System with Visual Basic .NET and SQL")</f>
        <v>Asset Inventory System with Visual Basic .NET and SQL</v>
      </c>
      <c r="F125" s="36" t="s">
        <v>5112</v>
      </c>
      <c r="G125" s="45">
        <v>4.3665013000000004</v>
      </c>
      <c r="H125" s="45">
        <v>11.954444000000001</v>
      </c>
      <c r="I125" s="46" t="s">
        <v>21</v>
      </c>
    </row>
    <row r="126" spans="1:9" ht="12.5">
      <c r="A126" s="41">
        <v>2069857</v>
      </c>
      <c r="B126" s="42" t="s">
        <v>225</v>
      </c>
      <c r="C126" s="43" t="s">
        <v>288</v>
      </c>
      <c r="D126" s="43" t="s">
        <v>5113</v>
      </c>
      <c r="E126" s="44" t="str">
        <f ca="1">IFERROR(__xludf.DUMMYFUNCTION("GOOGLETRANSLATE(D126)"),"Master in SQL Server: From Zero to Level Professional 2020")</f>
        <v>Master in SQL Server: From Zero to Level Professional 2020</v>
      </c>
      <c r="F126" s="36" t="s">
        <v>5114</v>
      </c>
      <c r="G126" s="45">
        <v>4.5648184000000001</v>
      </c>
      <c r="H126" s="45">
        <v>15.889722000000001</v>
      </c>
      <c r="I126" s="46" t="s">
        <v>21</v>
      </c>
    </row>
    <row r="127" spans="1:9" ht="12.5">
      <c r="A127" s="41">
        <v>393454</v>
      </c>
      <c r="B127" s="36" t="s">
        <v>225</v>
      </c>
      <c r="C127" s="36" t="s">
        <v>288</v>
      </c>
      <c r="D127" s="36" t="s">
        <v>5115</v>
      </c>
      <c r="E127" s="48" t="str">
        <f ca="1">IFERROR(__xludf.DUMMYFUNCTION("GOOGLETRANSLATE(D127)"),"Core Data on iOS and Swift | Best Introduction")</f>
        <v>Core Data on iOS and Swift | Best Introduction</v>
      </c>
      <c r="F127" s="36" t="s">
        <v>5116</v>
      </c>
      <c r="G127" s="45">
        <v>4.5351020000000002</v>
      </c>
      <c r="H127" s="45">
        <v>8.0166660000000007</v>
      </c>
      <c r="I127" s="46" t="s">
        <v>72</v>
      </c>
    </row>
    <row r="128" spans="1:9" ht="12.5">
      <c r="A128" s="41">
        <v>2562548</v>
      </c>
      <c r="B128" s="36" t="s">
        <v>225</v>
      </c>
      <c r="C128" s="36" t="s">
        <v>288</v>
      </c>
      <c r="D128" s="43" t="s">
        <v>5117</v>
      </c>
      <c r="E128" s="44" t="str">
        <f ca="1">IFERROR(__xludf.DUMMYFUNCTION("GOOGLETRANSLATE(D128)"),"Data analysis with Pandas and Python")</f>
        <v>Data analysis with Pandas and Python</v>
      </c>
      <c r="F128" s="36" t="s">
        <v>5118</v>
      </c>
      <c r="G128" s="45">
        <v>4.5928630000000004</v>
      </c>
      <c r="H128" s="45">
        <v>1.6397219999999999</v>
      </c>
      <c r="I128" s="46" t="s">
        <v>17</v>
      </c>
    </row>
    <row r="129" spans="1:9" ht="12.5">
      <c r="A129" s="47">
        <v>2265002</v>
      </c>
      <c r="B129" s="36" t="s">
        <v>225</v>
      </c>
      <c r="C129" s="36" t="s">
        <v>288</v>
      </c>
      <c r="D129" s="36" t="s">
        <v>5119</v>
      </c>
      <c r="E129" s="48" t="str">
        <f ca="1">IFERROR(__xludf.DUMMYFUNCTION("GOOGLETRANSLATE(D129)"),"Oracle PL / SQL Advanced")</f>
        <v>Oracle PL / SQL Advanced</v>
      </c>
      <c r="F129" s="36" t="s">
        <v>4961</v>
      </c>
      <c r="G129" s="45">
        <v>4.6074443</v>
      </c>
      <c r="H129" s="45">
        <v>10.1875</v>
      </c>
      <c r="I129" s="36" t="s">
        <v>72</v>
      </c>
    </row>
    <row r="130" spans="1:9" ht="12.5">
      <c r="A130" s="41">
        <v>1704410</v>
      </c>
      <c r="B130" s="36" t="s">
        <v>225</v>
      </c>
      <c r="C130" s="36" t="s">
        <v>229</v>
      </c>
      <c r="D130" s="43" t="s">
        <v>5120</v>
      </c>
      <c r="E130" s="44" t="str">
        <f ca="1">IFERROR(__xludf.DUMMYFUNCTION("GOOGLETRANSLATE(D130)"),"Docker, from beginner to expert")</f>
        <v>Docker, from beginner to expert</v>
      </c>
      <c r="F130" s="36" t="s">
        <v>5121</v>
      </c>
      <c r="G130" s="45">
        <v>4.5534477000000004</v>
      </c>
      <c r="H130" s="45">
        <v>8.5655549999999998</v>
      </c>
      <c r="I130" s="46" t="s">
        <v>21</v>
      </c>
    </row>
    <row r="131" spans="1:9" ht="12.5">
      <c r="A131" s="47">
        <v>1235212</v>
      </c>
      <c r="B131" s="36" t="s">
        <v>225</v>
      </c>
      <c r="C131" s="36" t="s">
        <v>229</v>
      </c>
      <c r="D131" s="36" t="s">
        <v>5122</v>
      </c>
      <c r="E131" s="48" t="str">
        <f ca="1">IFERROR(__xludf.DUMMYFUNCTION("GOOGLETRANSLATE(D131)"),"GIT + GitHub: Quite a version control system from scratch")</f>
        <v>GIT + GitHub: Quite a version control system from scratch</v>
      </c>
      <c r="F131" s="36" t="s">
        <v>5095</v>
      </c>
      <c r="G131" s="45">
        <v>4.7546185999999997</v>
      </c>
      <c r="H131" s="45">
        <v>6.8322219999999998</v>
      </c>
      <c r="I131" s="46" t="s">
        <v>17</v>
      </c>
    </row>
    <row r="132" spans="1:9" ht="12.5">
      <c r="A132" s="47">
        <v>2759776</v>
      </c>
      <c r="B132" s="36" t="s">
        <v>225</v>
      </c>
      <c r="C132" s="36" t="s">
        <v>229</v>
      </c>
      <c r="D132" s="36" t="s">
        <v>5123</v>
      </c>
      <c r="E132" s="48" t="str">
        <f ca="1">IFERROR(__xludf.DUMMYFUNCTION("GOOGLETRANSLATE(D132)"),"Kubernetes, from beginner to expert")</f>
        <v>Kubernetes, from beginner to expert</v>
      </c>
      <c r="F132" s="36" t="s">
        <v>5121</v>
      </c>
      <c r="G132" s="45">
        <v>4.5921674000000001</v>
      </c>
      <c r="H132" s="45">
        <v>16.513331999999998</v>
      </c>
      <c r="I132" s="46" t="s">
        <v>17</v>
      </c>
    </row>
    <row r="133" spans="1:9" ht="12.5">
      <c r="A133" s="47">
        <v>1897532</v>
      </c>
      <c r="B133" s="36" t="s">
        <v>225</v>
      </c>
      <c r="C133" s="36" t="s">
        <v>229</v>
      </c>
      <c r="D133" s="36" t="s">
        <v>5124</v>
      </c>
      <c r="E133" s="48" t="str">
        <f ca="1">IFERROR(__xludf.DUMMYFUNCTION("GOOGLETRANSLATE(D133)"),"Jenkins, De Cero A Expert: Become a Master Jenkins")</f>
        <v>Jenkins, De Cero A Expert: Become a Master Jenkins</v>
      </c>
      <c r="F133" s="36" t="s">
        <v>5121</v>
      </c>
      <c r="G133" s="45">
        <v>4.5135902999999997</v>
      </c>
      <c r="H133" s="45">
        <v>10.146944</v>
      </c>
      <c r="I133" s="46" t="s">
        <v>21</v>
      </c>
    </row>
    <row r="134" spans="1:9" ht="12.5">
      <c r="A134" s="41">
        <v>1890954</v>
      </c>
      <c r="B134" s="42" t="s">
        <v>225</v>
      </c>
      <c r="C134" s="43" t="s">
        <v>229</v>
      </c>
      <c r="D134" s="36" t="s">
        <v>5125</v>
      </c>
      <c r="E134" s="48" t="str">
        <f ca="1">IFERROR(__xludf.DUMMYFUNCTION("GOOGLETRANSLATE(D134)"),"DevOps - Martial Arts Software")</f>
        <v>DevOps - Martial Arts Software</v>
      </c>
      <c r="F134" s="36" t="s">
        <v>5126</v>
      </c>
      <c r="G134" s="45">
        <v>4.5146626999999997</v>
      </c>
      <c r="H134" s="45">
        <v>1.8463879999999999</v>
      </c>
      <c r="I134" s="46" t="s">
        <v>72</v>
      </c>
    </row>
    <row r="135" spans="1:9" ht="12.5">
      <c r="A135" s="41">
        <v>662914</v>
      </c>
      <c r="B135" s="42" t="s">
        <v>225</v>
      </c>
      <c r="C135" s="43" t="s">
        <v>229</v>
      </c>
      <c r="D135" s="36" t="s">
        <v>5127</v>
      </c>
      <c r="E135" s="48" t="str">
        <f ca="1">IFERROR(__xludf.DUMMYFUNCTION("GOOGLETRANSLATE(D135)"),"Docker learns from zero to Swarm and Kubernetes")</f>
        <v>Docker learns from zero to Swarm and Kubernetes</v>
      </c>
      <c r="F135" s="36" t="s">
        <v>4961</v>
      </c>
      <c r="G135" s="45">
        <v>4.5918125999999999</v>
      </c>
      <c r="H135" s="45">
        <v>10.454444000000001</v>
      </c>
      <c r="I135" s="46" t="s">
        <v>21</v>
      </c>
    </row>
    <row r="136" spans="1:9" ht="12.5">
      <c r="A136" s="47">
        <v>1426766</v>
      </c>
      <c r="B136" s="36" t="s">
        <v>225</v>
      </c>
      <c r="C136" s="36" t="s">
        <v>229</v>
      </c>
      <c r="D136" s="36" t="s">
        <v>5128</v>
      </c>
      <c r="E136" s="48" t="str">
        <f ca="1">IFERROR(__xludf.DUMMYFUNCTION("GOOGLETRANSLATE(D136)"),"Ansible course: Automation beginner to expert.")</f>
        <v>Ansible course: Automation beginner to expert.</v>
      </c>
      <c r="F136" s="36" t="s">
        <v>5129</v>
      </c>
      <c r="G136" s="45">
        <v>4.4648094</v>
      </c>
      <c r="H136" s="45">
        <v>10.192221999999999</v>
      </c>
      <c r="I136" s="46" t="s">
        <v>21</v>
      </c>
    </row>
    <row r="137" spans="1:9" ht="12.5">
      <c r="A137" s="41">
        <v>1287482</v>
      </c>
      <c r="B137" s="36" t="s">
        <v>225</v>
      </c>
      <c r="C137" s="36" t="s">
        <v>229</v>
      </c>
      <c r="D137" s="36" t="s">
        <v>5130</v>
      </c>
      <c r="E137" s="48" t="str">
        <f ca="1">IFERROR(__xludf.DUMMYFUNCTION("GOOGLETRANSLATE(D137)"),"Git course and Terminal command - For developers")</f>
        <v>Git course and Terminal command - For developers</v>
      </c>
      <c r="F137" s="36" t="s">
        <v>5131</v>
      </c>
      <c r="G137" s="45">
        <v>4.3995129999999998</v>
      </c>
      <c r="H137" s="45">
        <v>3.1063879999999999</v>
      </c>
      <c r="I137" s="46" t="s">
        <v>21</v>
      </c>
    </row>
    <row r="138" spans="1:9" ht="12.5">
      <c r="A138" s="41">
        <v>2534680</v>
      </c>
      <c r="B138" s="36" t="s">
        <v>225</v>
      </c>
      <c r="C138" s="36" t="s">
        <v>229</v>
      </c>
      <c r="D138" s="36" t="s">
        <v>5132</v>
      </c>
      <c r="E138" s="48" t="str">
        <f ca="1">IFERROR(__xludf.DUMMYFUNCTION("GOOGLETRANSLATE(D138)"),"Docker and DevOps: From novice to expert.")</f>
        <v>Docker and DevOps: From novice to expert.</v>
      </c>
      <c r="F138" s="36" t="s">
        <v>5133</v>
      </c>
      <c r="G138" s="45">
        <v>4.3487980000000004</v>
      </c>
      <c r="H138" s="45">
        <v>4.6594439999999997</v>
      </c>
      <c r="I138" s="46" t="s">
        <v>72</v>
      </c>
    </row>
    <row r="139" spans="1:9" ht="12.5">
      <c r="A139" s="47">
        <v>2514224</v>
      </c>
      <c r="B139" s="36" t="s">
        <v>225</v>
      </c>
      <c r="C139" s="36" t="s">
        <v>229</v>
      </c>
      <c r="D139" s="36" t="s">
        <v>5134</v>
      </c>
      <c r="E139" s="48" t="str">
        <f ca="1">IFERROR(__xludf.DUMMYFUNCTION("GOOGLETRANSLATE(D139)"),"Kubernetes complete")</f>
        <v>Kubernetes complete</v>
      </c>
      <c r="F139" s="36" t="s">
        <v>4961</v>
      </c>
      <c r="G139" s="45">
        <v>4.4148019999999999</v>
      </c>
      <c r="H139" s="45">
        <v>16.486387000000001</v>
      </c>
      <c r="I139" s="36" t="s">
        <v>21</v>
      </c>
    </row>
    <row r="140" spans="1:9" ht="12.5">
      <c r="A140" s="47">
        <v>2612578</v>
      </c>
      <c r="B140" s="36" t="s">
        <v>225</v>
      </c>
      <c r="C140" s="36" t="s">
        <v>229</v>
      </c>
      <c r="D140" s="36" t="s">
        <v>5135</v>
      </c>
      <c r="E140" s="48" t="str">
        <f ca="1">IFERROR(__xludf.DUMMYFUNCTION("GOOGLETRANSLATE(D140)"),"Kubernetes Developer")</f>
        <v>Kubernetes Developer</v>
      </c>
      <c r="F140" s="36" t="s">
        <v>5129</v>
      </c>
      <c r="G140" s="45">
        <v>4.5527389999999999</v>
      </c>
      <c r="H140" s="45">
        <v>3.7949999999999999</v>
      </c>
      <c r="I140" s="46" t="s">
        <v>72</v>
      </c>
    </row>
    <row r="141" spans="1:9" ht="12.5">
      <c r="A141" s="41">
        <v>2353450</v>
      </c>
      <c r="B141" s="36" t="s">
        <v>225</v>
      </c>
      <c r="C141" s="36" t="s">
        <v>229</v>
      </c>
      <c r="D141" s="43" t="s">
        <v>5136</v>
      </c>
      <c r="E141" s="44" t="str">
        <f ca="1">IFERROR(__xludf.DUMMYFUNCTION("GOOGLETRANSLATE(D141)"),"Kubernetes easy for developers")</f>
        <v>Kubernetes easy for developers</v>
      </c>
      <c r="F141" s="36" t="s">
        <v>5137</v>
      </c>
      <c r="G141" s="45">
        <v>3.9526984999999999</v>
      </c>
      <c r="H141" s="45">
        <v>3.6327769999999999</v>
      </c>
      <c r="I141" s="46" t="s">
        <v>17</v>
      </c>
    </row>
    <row r="142" spans="1:9" ht="12.5">
      <c r="A142" s="41">
        <v>2632604</v>
      </c>
      <c r="B142" s="42" t="s">
        <v>225</v>
      </c>
      <c r="C142" s="43" t="s">
        <v>229</v>
      </c>
      <c r="D142" s="36" t="s">
        <v>5138</v>
      </c>
      <c r="E142" s="48" t="str">
        <f ca="1">IFERROR(__xludf.DUMMYFUNCTION("GOOGLETRANSLATE(D142)"),"Git and Github course: PROFESSIONAL GIT from scratch + E-Book")</f>
        <v>Git and Github course: PROFESSIONAL GIT from scratch + E-Book</v>
      </c>
      <c r="F142" s="36" t="s">
        <v>5139</v>
      </c>
      <c r="G142" s="45">
        <v>4.6483005999999998</v>
      </c>
      <c r="H142" s="45">
        <v>5.6547219999999996</v>
      </c>
      <c r="I142" s="46" t="s">
        <v>21</v>
      </c>
    </row>
    <row r="143" spans="1:9" ht="12.5">
      <c r="A143" s="41">
        <v>1777698</v>
      </c>
      <c r="B143" s="42" t="s">
        <v>225</v>
      </c>
      <c r="C143" s="43" t="s">
        <v>229</v>
      </c>
      <c r="D143" s="36" t="s">
        <v>5140</v>
      </c>
      <c r="E143" s="48" t="str">
        <f ca="1">IFERROR(__xludf.DUMMYFUNCTION("GOOGLETRANSLATE(D143)"),"Docker Intensive Course for Developers and DevOps.")</f>
        <v>Docker Intensive Course for Developers and DevOps.</v>
      </c>
      <c r="F143" s="36" t="s">
        <v>5141</v>
      </c>
      <c r="G143" s="45">
        <v>4.4930159999999999</v>
      </c>
      <c r="H143" s="45">
        <v>3.583888</v>
      </c>
      <c r="I143" s="46" t="s">
        <v>21</v>
      </c>
    </row>
    <row r="144" spans="1:9" ht="12.5">
      <c r="A144" s="47">
        <v>1131852</v>
      </c>
      <c r="B144" s="36" t="s">
        <v>225</v>
      </c>
      <c r="C144" s="36" t="s">
        <v>229</v>
      </c>
      <c r="D144" s="36" t="s">
        <v>5142</v>
      </c>
      <c r="E144" s="48" t="str">
        <f ca="1">IFERROR(__xludf.DUMMYFUNCTION("GOOGLETRANSLATE(D144)"),"Docker integrating their infrastructure and services.")</f>
        <v>Docker integrating their infrastructure and services.</v>
      </c>
      <c r="F144" s="36" t="s">
        <v>5143</v>
      </c>
      <c r="G144" s="45">
        <v>3.9732637</v>
      </c>
      <c r="H144" s="45">
        <v>4.4811110000000003</v>
      </c>
      <c r="I144" s="36" t="s">
        <v>17</v>
      </c>
    </row>
    <row r="145" spans="1:9" ht="12.5">
      <c r="A145" s="41">
        <v>1966752</v>
      </c>
      <c r="B145" s="42" t="s">
        <v>225</v>
      </c>
      <c r="C145" s="43" t="s">
        <v>229</v>
      </c>
      <c r="D145" s="36" t="s">
        <v>5144</v>
      </c>
      <c r="E145" s="48" t="str">
        <f ca="1">IFERROR(__xludf.DUMMYFUNCTION("GOOGLETRANSLATE(D145)"),"MASTER IN Chatbots 202nd! DIALOGFLOW HOSTING INCLUDES FREE!")</f>
        <v>MASTER IN Chatbots 202nd! DIALOGFLOW HOSTING INCLUDES FREE!</v>
      </c>
      <c r="F145" s="36" t="s">
        <v>5013</v>
      </c>
      <c r="G145" s="45">
        <v>4.5715003000000003</v>
      </c>
      <c r="H145" s="45">
        <v>6.5897220000000001</v>
      </c>
      <c r="I145" s="46" t="s">
        <v>21</v>
      </c>
    </row>
    <row r="146" spans="1:9" ht="12.5">
      <c r="A146" s="41">
        <v>807580</v>
      </c>
      <c r="B146" s="42" t="s">
        <v>225</v>
      </c>
      <c r="C146" s="43" t="s">
        <v>229</v>
      </c>
      <c r="D146" s="36" t="s">
        <v>5145</v>
      </c>
      <c r="E146" s="48" t="str">
        <f ca="1">IFERROR(__xludf.DUMMYFUNCTION("GOOGLETRANSLATE(D146)"),"60+ development tools and web design")</f>
        <v>60+ development tools and web design</v>
      </c>
      <c r="F146" s="36" t="s">
        <v>5095</v>
      </c>
      <c r="G146" s="45">
        <v>4.7007165000000004</v>
      </c>
      <c r="H146" s="45">
        <v>8.1538880000000002</v>
      </c>
      <c r="I146" s="46" t="s">
        <v>21</v>
      </c>
    </row>
    <row r="147" spans="1:9" ht="12.5">
      <c r="A147" s="41">
        <v>2292081</v>
      </c>
      <c r="B147" s="42" t="s">
        <v>225</v>
      </c>
      <c r="C147" s="43" t="s">
        <v>229</v>
      </c>
      <c r="D147" s="43" t="s">
        <v>5146</v>
      </c>
      <c r="E147" s="44" t="str">
        <f ca="1">IFERROR(__xludf.DUMMYFUNCTION("GOOGLETRANSLATE(D147)"),"Alexa Skills From Zero | Create my voice with Amazon AWS")</f>
        <v>Alexa Skills From Zero | Create my voice with Amazon AWS</v>
      </c>
      <c r="F147" s="36" t="s">
        <v>5116</v>
      </c>
      <c r="G147" s="45">
        <v>4.5054410000000003</v>
      </c>
      <c r="H147" s="45">
        <v>7.7424999999999997</v>
      </c>
      <c r="I147" s="46" t="s">
        <v>21</v>
      </c>
    </row>
    <row r="148" spans="1:9" ht="12.5">
      <c r="A148" s="41">
        <v>2343178</v>
      </c>
      <c r="B148" s="36" t="s">
        <v>225</v>
      </c>
      <c r="C148" s="36" t="s">
        <v>229</v>
      </c>
      <c r="D148" s="43" t="s">
        <v>5147</v>
      </c>
      <c r="E148" s="44" t="str">
        <f ca="1">IFERROR(__xludf.DUMMYFUNCTION("GOOGLETRANSLATE(D148)"),"Kubernetes by un Guru DevOps")</f>
        <v>Kubernetes by un Guru DevOps</v>
      </c>
      <c r="F148" s="36" t="s">
        <v>5141</v>
      </c>
      <c r="G148" s="45">
        <v>3.8928769999999999</v>
      </c>
      <c r="H148" s="45">
        <v>5.4405549999999998</v>
      </c>
      <c r="I148" s="36" t="s">
        <v>21</v>
      </c>
    </row>
    <row r="149" spans="1:9" ht="12.5">
      <c r="A149" s="41">
        <v>1645052</v>
      </c>
      <c r="B149" s="36" t="s">
        <v>225</v>
      </c>
      <c r="C149" s="36" t="s">
        <v>229</v>
      </c>
      <c r="D149" s="36" t="s">
        <v>5148</v>
      </c>
      <c r="E149" s="48" t="str">
        <f ca="1">IFERROR(__xludf.DUMMYFUNCTION("GOOGLETRANSLATE(D149)"),"Labview Core I &amp;  Labview Core II")</f>
        <v>Labview Core I &amp;  Labview Core II</v>
      </c>
      <c r="F149" s="36" t="s">
        <v>5149</v>
      </c>
      <c r="G149" s="45">
        <v>4.6493869999999999</v>
      </c>
      <c r="H149" s="45">
        <v>15.168611</v>
      </c>
      <c r="I149" s="46" t="s">
        <v>21</v>
      </c>
    </row>
    <row r="150" spans="1:9" ht="12.5">
      <c r="A150" s="41">
        <v>2544511</v>
      </c>
      <c r="B150" s="42" t="s">
        <v>225</v>
      </c>
      <c r="C150" s="43" t="s">
        <v>229</v>
      </c>
      <c r="D150" s="36" t="s">
        <v>5150</v>
      </c>
      <c r="E150" s="48" t="str">
        <f ca="1">IFERROR(__xludf.DUMMYFUNCTION("GOOGLETRANSLATE(D150)"),"Kubernetes and docker in AWS from scratch")</f>
        <v>Kubernetes and docker in AWS from scratch</v>
      </c>
      <c r="F150" s="36" t="s">
        <v>5151</v>
      </c>
      <c r="G150" s="45">
        <v>4.6326830000000001</v>
      </c>
      <c r="H150" s="45">
        <v>13.502222</v>
      </c>
      <c r="I150" s="46" t="s">
        <v>21</v>
      </c>
    </row>
    <row r="151" spans="1:9" ht="12.5">
      <c r="A151" s="47">
        <v>940740</v>
      </c>
      <c r="B151" s="36" t="s">
        <v>225</v>
      </c>
      <c r="C151" s="36" t="s">
        <v>229</v>
      </c>
      <c r="D151" s="36" t="s">
        <v>5152</v>
      </c>
      <c r="E151" s="48" t="str">
        <f ca="1">IFERROR(__xludf.DUMMYFUNCTION("GOOGLETRANSLATE(D151)"),"Git and GitHub Desde Cero Complete")</f>
        <v>Git and GitHub Desde Cero Complete</v>
      </c>
      <c r="F151" s="36" t="s">
        <v>5153</v>
      </c>
      <c r="G151" s="45">
        <v>4.2128468000000003</v>
      </c>
      <c r="H151" s="45">
        <v>4.2913880000000004</v>
      </c>
      <c r="I151" s="36" t="s">
        <v>21</v>
      </c>
    </row>
    <row r="152" spans="1:9" ht="12.5">
      <c r="A152" s="41">
        <v>1910458</v>
      </c>
      <c r="B152" s="36" t="s">
        <v>225</v>
      </c>
      <c r="C152" s="36" t="s">
        <v>385</v>
      </c>
      <c r="D152" s="43" t="s">
        <v>5154</v>
      </c>
      <c r="E152" s="44" t="str">
        <f ca="1">IFERROR(__xludf.DUMMYFUNCTION("GOOGLETRANSLATE(D152)"),"Game development with Unreal Engine 4 0 to professional")</f>
        <v>Game development with Unreal Engine 4 0 to professional</v>
      </c>
      <c r="F152" s="36" t="s">
        <v>4943</v>
      </c>
      <c r="G152" s="45">
        <v>4.6876110000000004</v>
      </c>
      <c r="H152" s="45">
        <v>39.554164999999998</v>
      </c>
      <c r="I152" s="46" t="s">
        <v>17</v>
      </c>
    </row>
    <row r="153" spans="1:9" ht="12.5">
      <c r="A153" s="41">
        <v>3292300</v>
      </c>
      <c r="B153" s="42" t="s">
        <v>225</v>
      </c>
      <c r="C153" s="43" t="s">
        <v>385</v>
      </c>
      <c r="D153" s="43" t="s">
        <v>5155</v>
      </c>
      <c r="E153" s="44" t="str">
        <f ca="1">IFERROR(__xludf.DUMMYFUNCTION("GOOGLETRANSLATE(D153)"),"Unity full course of 2020 dominates the world of video games")</f>
        <v>Unity full course of 2020 dominates the world of video games</v>
      </c>
      <c r="F153" s="36" t="s">
        <v>4943</v>
      </c>
      <c r="G153" s="45">
        <v>4.6112466000000003</v>
      </c>
      <c r="H153" s="45">
        <v>60.985554</v>
      </c>
      <c r="I153" s="46" t="s">
        <v>21</v>
      </c>
    </row>
    <row r="154" spans="1:9" ht="12.5">
      <c r="A154" s="41">
        <v>2438730</v>
      </c>
      <c r="B154" s="42" t="s">
        <v>225</v>
      </c>
      <c r="C154" s="43" t="s">
        <v>385</v>
      </c>
      <c r="D154" s="36" t="s">
        <v>5156</v>
      </c>
      <c r="E154" s="48" t="str">
        <f ca="1">IFERROR(__xludf.DUMMYFUNCTION("GOOGLETRANSLATE(D154)"),"Learn how to create an RPG video game from scratch Unity 2019")</f>
        <v>Learn how to create an RPG video game from scratch Unity 2019</v>
      </c>
      <c r="F154" s="36" t="s">
        <v>4943</v>
      </c>
      <c r="G154" s="45">
        <v>4.9684743999999998</v>
      </c>
      <c r="H154" s="45">
        <v>55.379443999999999</v>
      </c>
      <c r="I154" s="46" t="s">
        <v>21</v>
      </c>
    </row>
    <row r="155" spans="1:9" ht="12.5">
      <c r="A155" s="41">
        <v>1075490</v>
      </c>
      <c r="B155" s="42" t="s">
        <v>225</v>
      </c>
      <c r="C155" s="43" t="s">
        <v>385</v>
      </c>
      <c r="D155" s="43" t="s">
        <v>5157</v>
      </c>
      <c r="E155" s="44" t="str">
        <f ca="1">IFERROR(__xludf.DUMMYFUNCTION("GOOGLETRANSLATE(D155)"),"Unreal Engine from 0: Create 3 Games with Blueprints and C ++")</f>
        <v>Unreal Engine from 0: Create 3 Games with Blueprints and C ++</v>
      </c>
      <c r="F155" s="36" t="s">
        <v>5158</v>
      </c>
      <c r="G155" s="45">
        <v>4.7258659999999999</v>
      </c>
      <c r="H155" s="45">
        <v>30.274166000000001</v>
      </c>
      <c r="I155" s="46" t="s">
        <v>17</v>
      </c>
    </row>
    <row r="156" spans="1:9" ht="12.5">
      <c r="A156" s="41">
        <v>481712</v>
      </c>
      <c r="B156" s="42" t="s">
        <v>225</v>
      </c>
      <c r="C156" s="43" t="s">
        <v>385</v>
      </c>
      <c r="D156" s="36" t="s">
        <v>5159</v>
      </c>
      <c r="E156" s="48" t="str">
        <f ca="1">IFERROR(__xludf.DUMMYFUNCTION("GOOGLETRANSLATE(D156)"),"Development of 2D Games in Unity 3D 5")</f>
        <v>Development of 2D Games in Unity 3D 5</v>
      </c>
      <c r="F156" s="36" t="s">
        <v>5160</v>
      </c>
      <c r="G156" s="45">
        <v>4.3564939999999996</v>
      </c>
      <c r="H156" s="45">
        <v>12.271388</v>
      </c>
      <c r="I156" s="46" t="s">
        <v>17</v>
      </c>
    </row>
    <row r="157" spans="1:9" ht="12.5">
      <c r="A157" s="47">
        <v>1764950</v>
      </c>
      <c r="B157" s="36" t="s">
        <v>225</v>
      </c>
      <c r="C157" s="36" t="s">
        <v>385</v>
      </c>
      <c r="D157" s="36" t="s">
        <v>5161</v>
      </c>
      <c r="E157" s="48" t="str">
        <f ca="1">IFERROR(__xludf.DUMMYFUNCTION("GOOGLETRANSLATE(D157)"),"New Course Game Development with Unity 2018 and C #")</f>
        <v>New Course Game Development with Unity 2018 and C #</v>
      </c>
      <c r="F157" s="36" t="s">
        <v>4943</v>
      </c>
      <c r="G157" s="45">
        <v>4.6055809999999999</v>
      </c>
      <c r="H157" s="45">
        <v>109.72861</v>
      </c>
      <c r="I157" s="46" t="s">
        <v>21</v>
      </c>
    </row>
    <row r="158" spans="1:9" ht="12.5">
      <c r="A158" s="41">
        <v>1376722</v>
      </c>
      <c r="B158" s="42" t="s">
        <v>225</v>
      </c>
      <c r="C158" s="43" t="s">
        <v>385</v>
      </c>
      <c r="D158" s="36" t="s">
        <v>5162</v>
      </c>
      <c r="E158" s="48" t="str">
        <f ca="1">IFERROR(__xludf.DUMMYFUNCTION("GOOGLETRANSLATE(D158)"),"Bootcamp 2D video game Unity 5 from zero JB (I)")</f>
        <v>Bootcamp 2D video game Unity 5 from zero JB (I)</v>
      </c>
      <c r="F158" s="36" t="s">
        <v>4943</v>
      </c>
      <c r="G158" s="45">
        <v>4.4976419999999999</v>
      </c>
      <c r="H158" s="45">
        <v>34.897219999999997</v>
      </c>
      <c r="I158" s="46" t="s">
        <v>21</v>
      </c>
    </row>
    <row r="159" spans="1:9" ht="12.5">
      <c r="A159" s="41">
        <v>1610702</v>
      </c>
      <c r="B159" s="36" t="s">
        <v>225</v>
      </c>
      <c r="C159" s="36" t="s">
        <v>385</v>
      </c>
      <c r="D159" s="43" t="s">
        <v>5163</v>
      </c>
      <c r="E159" s="44" t="str">
        <f ca="1">IFERROR(__xludf.DUMMYFUNCTION("GOOGLETRANSLATE(D159)"),"SQLite, Unity® 3D, C # and Databases for Games")</f>
        <v>SQLite, Unity® 3D, C # and Databases for Games</v>
      </c>
      <c r="F159" s="36" t="s">
        <v>5017</v>
      </c>
      <c r="G159" s="45">
        <v>4.5328664999999999</v>
      </c>
      <c r="H159" s="45">
        <v>6.6955549999999997</v>
      </c>
      <c r="I159" s="36" t="s">
        <v>17</v>
      </c>
    </row>
    <row r="160" spans="1:9" ht="12.5">
      <c r="A160" s="41">
        <v>1186588</v>
      </c>
      <c r="B160" s="36" t="s">
        <v>225</v>
      </c>
      <c r="C160" s="36" t="s">
        <v>385</v>
      </c>
      <c r="D160" s="43" t="s">
        <v>5164</v>
      </c>
      <c r="E160" s="44" t="str">
        <f ca="1">IFERROR(__xludf.DUMMYFUNCTION("GOOGLETRANSLATE(D160)"),"Create online gaming systems with canvas and PHP 7")</f>
        <v>Create online gaming systems with canvas and PHP 7</v>
      </c>
      <c r="F160" s="36" t="s">
        <v>5086</v>
      </c>
      <c r="G160" s="45">
        <v>4.4112634999999996</v>
      </c>
      <c r="H160" s="45">
        <v>20.589167</v>
      </c>
      <c r="I160" s="46" t="s">
        <v>21</v>
      </c>
    </row>
    <row r="161" spans="1:9" ht="12.5">
      <c r="A161" s="47">
        <v>1119270</v>
      </c>
      <c r="B161" s="36" t="s">
        <v>225</v>
      </c>
      <c r="C161" s="36" t="s">
        <v>385</v>
      </c>
      <c r="D161" s="36" t="s">
        <v>5165</v>
      </c>
      <c r="E161" s="48" t="str">
        <f ca="1">IFERROR(__xludf.DUMMYFUNCTION("GOOGLETRANSLATE(D161)"),"Unity3D: 0 to Virtual Reality and Augmented Reality")</f>
        <v>Unity3D: 0 to Virtual Reality and Augmented Reality</v>
      </c>
      <c r="F161" s="36" t="s">
        <v>5166</v>
      </c>
      <c r="G161" s="45">
        <v>4.2752330000000001</v>
      </c>
      <c r="H161" s="45">
        <v>15.762222</v>
      </c>
      <c r="I161" s="46" t="s">
        <v>21</v>
      </c>
    </row>
    <row r="162" spans="1:9" ht="12.5">
      <c r="A162" s="41">
        <v>2306140</v>
      </c>
      <c r="B162" s="36" t="s">
        <v>225</v>
      </c>
      <c r="C162" s="36" t="s">
        <v>278</v>
      </c>
      <c r="D162" s="36" t="s">
        <v>5167</v>
      </c>
      <c r="E162" s="48" t="str">
        <f ca="1">IFERROR(__xludf.DUMMYFUNCTION("GOOGLETRANSLATE(D162)"),"Flutter: Your complete guide development for IOS and Android")</f>
        <v>Flutter: Your complete guide development for IOS and Android</v>
      </c>
      <c r="F162" s="36" t="s">
        <v>5095</v>
      </c>
      <c r="G162" s="45">
        <v>4.7359285</v>
      </c>
      <c r="H162" s="45">
        <v>31.398333000000001</v>
      </c>
      <c r="I162" s="46" t="s">
        <v>21</v>
      </c>
    </row>
    <row r="163" spans="1:9" ht="12.5">
      <c r="A163" s="47">
        <v>2151290</v>
      </c>
      <c r="B163" s="36" t="s">
        <v>225</v>
      </c>
      <c r="C163" s="36" t="s">
        <v>278</v>
      </c>
      <c r="D163" s="36" t="s">
        <v>5168</v>
      </c>
      <c r="E163" s="48" t="str">
        <f ca="1">IFERROR(__xludf.DUMMYFUNCTION("GOOGLETRANSLATE(D163)"),"REACT-native borderless")</f>
        <v>REACT-native borderless</v>
      </c>
      <c r="F163" s="36" t="s">
        <v>5169</v>
      </c>
      <c r="G163" s="45">
        <v>4.6133522999999999</v>
      </c>
      <c r="H163" s="45">
        <v>20.728332999999999</v>
      </c>
      <c r="I163" s="36" t="s">
        <v>72</v>
      </c>
    </row>
    <row r="164" spans="1:9" ht="12.5">
      <c r="A164" s="41">
        <v>2088520</v>
      </c>
      <c r="B164" s="42" t="s">
        <v>225</v>
      </c>
      <c r="C164" s="43" t="s">
        <v>278</v>
      </c>
      <c r="D164" s="43" t="s">
        <v>5170</v>
      </c>
      <c r="E164" s="44" t="str">
        <f ca="1">IFERROR(__xludf.DUMMYFUNCTION("GOOGLETRANSLATE(D164)"),"Ionic 6+: Create applications IOS, Android and PWAs with Angular")</f>
        <v>Ionic 6+: Create applications IOS, Android and PWAs with Angular</v>
      </c>
      <c r="F164" s="36" t="s">
        <v>5095</v>
      </c>
      <c r="G164" s="45">
        <v>4.7711534999999996</v>
      </c>
      <c r="H164" s="45">
        <v>29.995000000000001</v>
      </c>
      <c r="I164" s="46" t="s">
        <v>21</v>
      </c>
    </row>
    <row r="165" spans="1:9" ht="12.5">
      <c r="A165" s="47">
        <v>371090</v>
      </c>
      <c r="B165" s="36" t="s">
        <v>225</v>
      </c>
      <c r="C165" s="36" t="s">
        <v>278</v>
      </c>
      <c r="D165" s="36" t="s">
        <v>5171</v>
      </c>
      <c r="E165" s="48" t="str">
        <f ca="1">IFERROR(__xludf.DUMMYFUNCTION("GOOGLETRANSLATE(D165)"),"Master in Video Game Programming with Unity ® 2020 and C #")</f>
        <v>Master in Video Game Programming with Unity ® 2020 and C #</v>
      </c>
      <c r="F165" s="36" t="s">
        <v>5017</v>
      </c>
      <c r="G165" s="45">
        <v>4.4609759999999996</v>
      </c>
      <c r="H165" s="45">
        <v>37.755276000000002</v>
      </c>
      <c r="I165" s="36" t="s">
        <v>21</v>
      </c>
    </row>
    <row r="166" spans="1:9" ht="12.5">
      <c r="A166" s="41">
        <v>957106</v>
      </c>
      <c r="B166" s="42" t="s">
        <v>225</v>
      </c>
      <c r="C166" s="43" t="s">
        <v>278</v>
      </c>
      <c r="D166" s="36" t="s">
        <v>5172</v>
      </c>
      <c r="E166" s="48" t="str">
        <f ca="1">IFERROR(__xludf.DUMMYFUNCTION("GOOGLETRANSLATE(D166)"),"Android Programming Course from Scratch +35 hours FULL")</f>
        <v>Android Programming Course from Scratch +35 hours FULL</v>
      </c>
      <c r="F166" s="36" t="s">
        <v>5153</v>
      </c>
      <c r="G166" s="45">
        <v>4.2604920000000002</v>
      </c>
      <c r="H166" s="45">
        <v>42.486668000000002</v>
      </c>
      <c r="I166" s="46" t="s">
        <v>21</v>
      </c>
    </row>
    <row r="167" spans="1:9" ht="12.5">
      <c r="A167" s="47">
        <v>2387192</v>
      </c>
      <c r="B167" s="36" t="s">
        <v>225</v>
      </c>
      <c r="C167" s="36" t="s">
        <v>278</v>
      </c>
      <c r="D167" s="36" t="s">
        <v>5173</v>
      </c>
      <c r="E167" s="48" t="str">
        <f ca="1">IFERROR(__xludf.DUMMYFUNCTION("GOOGLETRANSLATE(D167)"),"iOS 5.3  14 and Swift Complete Course From Zero to Professional")</f>
        <v>iOS 5.3  14 and Swift Complete Course From Zero to Professional</v>
      </c>
      <c r="F167" s="36" t="s">
        <v>5116</v>
      </c>
      <c r="G167" s="45">
        <v>4.5262690000000001</v>
      </c>
      <c r="H167" s="45">
        <v>33.946666999999998</v>
      </c>
      <c r="I167" s="46" t="s">
        <v>21</v>
      </c>
    </row>
    <row r="168" spans="1:9" ht="12.5">
      <c r="A168" s="41">
        <v>2351504</v>
      </c>
      <c r="B168" s="42" t="s">
        <v>225</v>
      </c>
      <c r="C168" s="43" t="s">
        <v>278</v>
      </c>
      <c r="D168" s="36" t="s">
        <v>5174</v>
      </c>
      <c r="E168" s="48" t="str">
        <f ca="1">IFERROR(__xludf.DUMMYFUNCTION("GOOGLETRANSLATE(D168)"),"React Native Expo: Creating a TripAdvisor Restaurants")</f>
        <v>React Native Expo: Creating a TripAdvisor Restaurants</v>
      </c>
      <c r="F168" s="36" t="s">
        <v>5175</v>
      </c>
      <c r="G168" s="45">
        <v>4.6386614000000002</v>
      </c>
      <c r="H168" s="45">
        <v>19.911111999999999</v>
      </c>
      <c r="I168" s="46" t="s">
        <v>21</v>
      </c>
    </row>
    <row r="169" spans="1:9" ht="12.5">
      <c r="A169" s="41">
        <v>2851496</v>
      </c>
      <c r="B169" s="42" t="s">
        <v>225</v>
      </c>
      <c r="C169" s="43" t="s">
        <v>278</v>
      </c>
      <c r="D169" s="36" t="s">
        <v>5176</v>
      </c>
      <c r="E169" s="48" t="str">
        <f ca="1">IFERROR(__xludf.DUMMYFUNCTION("GOOGLETRANSLATE(D169)"),"Flutter Intermediate: Professional designs and animations")</f>
        <v>Flutter Intermediate: Professional designs and animations</v>
      </c>
      <c r="F169" s="36" t="s">
        <v>5095</v>
      </c>
      <c r="G169" s="45">
        <v>4.9010452999999998</v>
      </c>
      <c r="H169" s="45">
        <v>15.6075</v>
      </c>
      <c r="I169" s="46" t="s">
        <v>72</v>
      </c>
    </row>
    <row r="170" spans="1:9" ht="12.5">
      <c r="A170" s="41">
        <v>2730132</v>
      </c>
      <c r="B170" s="36" t="s">
        <v>225</v>
      </c>
      <c r="C170" s="36" t="s">
        <v>278</v>
      </c>
      <c r="D170" s="43" t="s">
        <v>5177</v>
      </c>
      <c r="E170" s="44" t="str">
        <f ca="1">IFERROR(__xludf.DUMMYFUNCTION("GOOGLETRANSLATE(D170)"),"Create an App like UBER using Android Studio and Firebase")</f>
        <v>Create an App like UBER using Android Studio and Firebase</v>
      </c>
      <c r="F170" s="36" t="s">
        <v>5178</v>
      </c>
      <c r="G170" s="45">
        <v>4.5275889999999999</v>
      </c>
      <c r="H170" s="45">
        <v>14.8475</v>
      </c>
      <c r="I170" s="46" t="s">
        <v>21</v>
      </c>
    </row>
    <row r="171" spans="1:9" ht="12.5">
      <c r="A171" s="41">
        <v>3017166</v>
      </c>
      <c r="B171" s="42" t="s">
        <v>225</v>
      </c>
      <c r="C171" s="43" t="s">
        <v>278</v>
      </c>
      <c r="D171" s="43" t="s">
        <v>5179</v>
      </c>
      <c r="E171" s="44" t="str">
        <f ca="1">IFERROR(__xludf.DUMMYFUNCTION("GOOGLETRANSLATE(D171)"),"React Native - Create applications for Android and iOS c / React")</f>
        <v>React Native - Create applications for Android and iOS c / React</v>
      </c>
      <c r="F171" s="36" t="s">
        <v>5180</v>
      </c>
      <c r="G171" s="45">
        <v>4.4958520000000002</v>
      </c>
      <c r="H171" s="45">
        <v>19.381945000000002</v>
      </c>
      <c r="I171" s="46" t="s">
        <v>21</v>
      </c>
    </row>
    <row r="172" spans="1:9" ht="12.5">
      <c r="A172" s="41">
        <v>3051556</v>
      </c>
      <c r="B172" s="42" t="s">
        <v>225</v>
      </c>
      <c r="C172" s="43" t="s">
        <v>278</v>
      </c>
      <c r="D172" s="36" t="s">
        <v>5181</v>
      </c>
      <c r="E172" s="48" t="str">
        <f ca="1">IFERROR(__xludf.DUMMYFUNCTION("GOOGLETRANSLATE(D172)"),"React Native: Create mobile applications iOS and Android real")</f>
        <v>React Native: Create mobile applications iOS and Android real</v>
      </c>
      <c r="F172" s="36" t="s">
        <v>5175</v>
      </c>
      <c r="G172" s="45">
        <v>4.6140220000000003</v>
      </c>
      <c r="H172" s="45">
        <v>19.742777</v>
      </c>
      <c r="I172" s="46" t="s">
        <v>21</v>
      </c>
    </row>
    <row r="173" spans="1:9" ht="12.5">
      <c r="A173" s="41">
        <v>3372986</v>
      </c>
      <c r="B173" s="36" t="s">
        <v>225</v>
      </c>
      <c r="C173" s="36" t="s">
        <v>278</v>
      </c>
      <c r="D173" s="36" t="s">
        <v>5182</v>
      </c>
      <c r="E173" s="48" t="str">
        <f ca="1">IFERROR(__xludf.DUMMYFUNCTION("GOOGLETRANSLATE(D173)"),"Flutter Advanced: Bring your knowledge to the next level")</f>
        <v>Flutter Advanced: Bring your knowledge to the next level</v>
      </c>
      <c r="F173" s="36" t="s">
        <v>5095</v>
      </c>
      <c r="G173" s="45">
        <v>4.8893269999999998</v>
      </c>
      <c r="H173" s="45">
        <v>31.849722</v>
      </c>
      <c r="I173" s="46" t="s">
        <v>72</v>
      </c>
    </row>
    <row r="174" spans="1:9" ht="12.5">
      <c r="A174" s="41">
        <v>858236</v>
      </c>
      <c r="B174" s="42" t="s">
        <v>225</v>
      </c>
      <c r="C174" s="43" t="s">
        <v>278</v>
      </c>
      <c r="D174" s="36" t="s">
        <v>5183</v>
      </c>
      <c r="E174" s="48" t="str">
        <f ca="1">IFERROR(__xludf.DUMMYFUNCTION("GOOGLETRANSLATE(D174)"),"Full Android: Creating Learning Apps")</f>
        <v>Full Android: Creating Learning Apps</v>
      </c>
      <c r="F174" s="36" t="s">
        <v>5184</v>
      </c>
      <c r="G174" s="45">
        <v>4.3450116999999997</v>
      </c>
      <c r="H174" s="45">
        <v>7.0638880000000004</v>
      </c>
      <c r="I174" s="46" t="s">
        <v>21</v>
      </c>
    </row>
    <row r="175" spans="1:9" ht="12.5">
      <c r="A175" s="41">
        <v>486808</v>
      </c>
      <c r="B175" s="36" t="s">
        <v>225</v>
      </c>
      <c r="C175" s="36" t="s">
        <v>278</v>
      </c>
      <c r="D175" s="36" t="s">
        <v>5185</v>
      </c>
      <c r="E175" s="48" t="str">
        <f ca="1">IFERROR(__xludf.DUMMYFUNCTION("GOOGLETRANSLATE(D175)"),"Mobile Application Development Android App Inventor")</f>
        <v>Mobile Application Development Android App Inventor</v>
      </c>
      <c r="F175" s="36" t="s">
        <v>5186</v>
      </c>
      <c r="G175" s="45">
        <v>4.6103272000000004</v>
      </c>
      <c r="H175" s="45">
        <v>31.360555999999999</v>
      </c>
      <c r="I175" s="46" t="s">
        <v>21</v>
      </c>
    </row>
    <row r="176" spans="1:9" ht="12.5">
      <c r="A176" s="41">
        <v>1266742</v>
      </c>
      <c r="B176" s="42" t="s">
        <v>225</v>
      </c>
      <c r="C176" s="43" t="s">
        <v>278</v>
      </c>
      <c r="D176" s="43" t="s">
        <v>5187</v>
      </c>
      <c r="E176" s="44" t="str">
        <f ca="1">IFERROR(__xludf.DUMMYFUNCTION("GOOGLETRANSLATE(D176)"),"Android Kotlin learn from scratch")</f>
        <v>Android Kotlin learn from scratch</v>
      </c>
      <c r="F176" s="36" t="s">
        <v>5188</v>
      </c>
      <c r="G176" s="45">
        <v>4.2961229999999997</v>
      </c>
      <c r="H176" s="45">
        <v>35.229443000000003</v>
      </c>
      <c r="I176" s="46" t="s">
        <v>21</v>
      </c>
    </row>
    <row r="177" spans="1:9" ht="12.5">
      <c r="A177" s="41">
        <v>1325930</v>
      </c>
      <c r="B177" s="42" t="s">
        <v>225</v>
      </c>
      <c r="C177" s="43" t="s">
        <v>278</v>
      </c>
      <c r="D177" s="36" t="s">
        <v>5189</v>
      </c>
      <c r="E177" s="48" t="str">
        <f ca="1">IFERROR(__xludf.DUMMYFUNCTION("GOOGLETRANSLATE(D177)"),"Learn how to program with Kotlin Android + Google + Firebase")</f>
        <v>Learn how to program with Kotlin Android + Google + Firebase</v>
      </c>
      <c r="F177" s="36" t="s">
        <v>5190</v>
      </c>
      <c r="G177" s="45">
        <v>4.2441079999999998</v>
      </c>
      <c r="H177" s="45">
        <v>28.710277999999999</v>
      </c>
      <c r="I177" s="46" t="s">
        <v>72</v>
      </c>
    </row>
    <row r="178" spans="1:9" ht="12.5">
      <c r="A178" s="41">
        <v>1242552</v>
      </c>
      <c r="B178" s="42" t="s">
        <v>225</v>
      </c>
      <c r="C178" s="43" t="s">
        <v>278</v>
      </c>
      <c r="D178" s="36" t="s">
        <v>5191</v>
      </c>
      <c r="E178" s="48" t="str">
        <f ca="1">IFERROR(__xludf.DUMMYFUNCTION("GOOGLETRANSLATE(D178)"),"12 and Swift iOS 4: Complete Course Zero Professional")</f>
        <v>12 and Swift iOS 4: Complete Course Zero Professional</v>
      </c>
      <c r="F178" s="36" t="s">
        <v>5116</v>
      </c>
      <c r="G178" s="45">
        <v>4.4272359999999997</v>
      </c>
      <c r="H178" s="45">
        <v>39.407223000000002</v>
      </c>
      <c r="I178" s="46" t="s">
        <v>21</v>
      </c>
    </row>
    <row r="179" spans="1:9" ht="12.5">
      <c r="A179" s="41">
        <v>1619714</v>
      </c>
      <c r="B179" s="42" t="s">
        <v>225</v>
      </c>
      <c r="C179" s="43" t="s">
        <v>278</v>
      </c>
      <c r="D179" s="36" t="s">
        <v>5192</v>
      </c>
      <c r="E179" s="48" t="str">
        <f ca="1">IFERROR(__xludf.DUMMYFUNCTION("GOOGLETRANSLATE(D179)"),"Course Android UI - Improved User Interface Your Apps")</f>
        <v>Course Android UI - Improved User Interface Your Apps</v>
      </c>
      <c r="F179" s="36" t="s">
        <v>5193</v>
      </c>
      <c r="G179" s="45">
        <v>4.349888</v>
      </c>
      <c r="H179" s="45">
        <v>4.3597219999999997</v>
      </c>
      <c r="I179" s="46" t="s">
        <v>21</v>
      </c>
    </row>
    <row r="180" spans="1:9" ht="12.5">
      <c r="A180" s="41">
        <v>2797654</v>
      </c>
      <c r="B180" s="42" t="s">
        <v>225</v>
      </c>
      <c r="C180" s="43" t="s">
        <v>278</v>
      </c>
      <c r="D180" s="36" t="s">
        <v>5194</v>
      </c>
      <c r="E180" s="48" t="str">
        <f ca="1">IFERROR(__xludf.DUMMYFUNCTION("GOOGLETRANSLATE(D180)"),"full course of iOS Swift 13 UI 5.2: expert zero")</f>
        <v>full course of iOS Swift 13 UI 5.2: expert zero</v>
      </c>
      <c r="F180" s="36" t="s">
        <v>4943</v>
      </c>
      <c r="G180" s="45">
        <v>4.6047853999999999</v>
      </c>
      <c r="H180" s="45">
        <v>28.681388999999999</v>
      </c>
      <c r="I180" s="46" t="s">
        <v>21</v>
      </c>
    </row>
    <row r="181" spans="1:9" ht="12.5">
      <c r="A181" s="41">
        <v>1343610</v>
      </c>
      <c r="B181" s="42" t="s">
        <v>225</v>
      </c>
      <c r="C181" s="43" t="s">
        <v>278</v>
      </c>
      <c r="D181" s="36" t="s">
        <v>5195</v>
      </c>
      <c r="E181" s="48" t="str">
        <f ca="1">IFERROR(__xludf.DUMMYFUNCTION("GOOGLETRANSLATE(D181)"),"Advanced Master Android programming patterns")</f>
        <v>Advanced Master Android programming patterns</v>
      </c>
      <c r="F181" s="36" t="s">
        <v>4943</v>
      </c>
      <c r="G181" s="45">
        <v>4.5302395999999998</v>
      </c>
      <c r="H181" s="45">
        <v>27.151388000000001</v>
      </c>
      <c r="I181" s="46" t="s">
        <v>72</v>
      </c>
    </row>
    <row r="182" spans="1:9" ht="12.5">
      <c r="A182" s="47">
        <v>2590336</v>
      </c>
      <c r="B182" s="36" t="s">
        <v>225</v>
      </c>
      <c r="C182" s="36" t="s">
        <v>278</v>
      </c>
      <c r="D182" s="43" t="s">
        <v>5196</v>
      </c>
      <c r="E182" s="48" t="str">
        <f ca="1">IFERROR(__xludf.DUMMYFUNCTION("GOOGLETRANSLATE(D182)"),"Flutter Advanced - The next level of mobile development")</f>
        <v>Flutter Advanced - The next level of mobile development</v>
      </c>
      <c r="F182" s="36" t="s">
        <v>5197</v>
      </c>
      <c r="G182" s="45">
        <v>4.7507234</v>
      </c>
      <c r="H182" s="45">
        <v>37.357224000000002</v>
      </c>
      <c r="I182" s="46" t="s">
        <v>259</v>
      </c>
    </row>
    <row r="183" spans="1:9" ht="12.5">
      <c r="A183" s="41">
        <v>1243084</v>
      </c>
      <c r="B183" s="42" t="s">
        <v>225</v>
      </c>
      <c r="C183" s="43" t="s">
        <v>278</v>
      </c>
      <c r="D183" s="36" t="s">
        <v>5198</v>
      </c>
      <c r="E183" s="48" t="str">
        <f ca="1">IFERROR(__xludf.DUMMYFUNCTION("GOOGLETRANSLATE(D183)"),"Kotlin | Introduction to Programming")</f>
        <v>Kotlin | Introduction to Programming</v>
      </c>
      <c r="F183" s="36" t="s">
        <v>5116</v>
      </c>
      <c r="G183" s="45">
        <v>4.3577870000000001</v>
      </c>
      <c r="H183" s="45">
        <v>3.4544440000000001</v>
      </c>
      <c r="I183" s="46" t="s">
        <v>17</v>
      </c>
    </row>
    <row r="184" spans="1:9" ht="12.5">
      <c r="A184" s="41">
        <v>1422246</v>
      </c>
      <c r="B184" s="42" t="s">
        <v>225</v>
      </c>
      <c r="C184" s="43" t="s">
        <v>278</v>
      </c>
      <c r="D184" s="36" t="s">
        <v>5199</v>
      </c>
      <c r="E184" s="48" t="str">
        <f ca="1">IFERROR(__xludf.DUMMYFUNCTION("GOOGLETRANSLATE(D184)"),"Firebase expert Android + MVP Complete Course + 30hrs")</f>
        <v>Firebase expert Android + MVP Complete Course + 30hrs</v>
      </c>
      <c r="F184" s="36" t="s">
        <v>5200</v>
      </c>
      <c r="G184" s="45">
        <v>4.5943759999999996</v>
      </c>
      <c r="H184" s="45">
        <v>30.824444</v>
      </c>
      <c r="I184" s="46" t="s">
        <v>72</v>
      </c>
    </row>
    <row r="185" spans="1:9" ht="12.5">
      <c r="A185" s="41">
        <v>1599206</v>
      </c>
      <c r="B185" s="36" t="s">
        <v>225</v>
      </c>
      <c r="C185" s="36" t="s">
        <v>278</v>
      </c>
      <c r="D185" s="36" t="s">
        <v>5201</v>
      </c>
      <c r="E185" s="48" t="str">
        <f ca="1">IFERROR(__xludf.DUMMYFUNCTION("GOOGLETRANSLATE(D185)"),"Augmented Reality with Unity®2019 and Vuforia Engine")</f>
        <v>Augmented Reality with Unity®2019 and Vuforia Engine</v>
      </c>
      <c r="F185" s="36" t="s">
        <v>5202</v>
      </c>
      <c r="G185" s="45">
        <v>4.5564150000000003</v>
      </c>
      <c r="H185" s="45">
        <v>5.9752770000000002</v>
      </c>
      <c r="I185" s="46" t="s">
        <v>72</v>
      </c>
    </row>
    <row r="186" spans="1:9" ht="12.5">
      <c r="A186" s="41">
        <v>1223302</v>
      </c>
      <c r="B186" s="42" t="s">
        <v>225</v>
      </c>
      <c r="C186" s="43" t="s">
        <v>278</v>
      </c>
      <c r="D186" s="36" t="s">
        <v>5203</v>
      </c>
      <c r="E186" s="48" t="str">
        <f ca="1">IFERROR(__xludf.DUMMYFUNCTION("GOOGLETRANSLATE(D186)"),"Unreal Engine 4 Development Master Games with Blueprints")</f>
        <v>Unreal Engine 4 Development Master Games with Blueprints</v>
      </c>
      <c r="F186" s="36" t="s">
        <v>5017</v>
      </c>
      <c r="G186" s="45">
        <v>4.6879496999999999</v>
      </c>
      <c r="H186" s="45">
        <v>26.978611000000001</v>
      </c>
      <c r="I186" s="46" t="s">
        <v>21</v>
      </c>
    </row>
    <row r="187" spans="1:9" ht="12.5">
      <c r="A187" s="41">
        <v>1175904</v>
      </c>
      <c r="B187" s="42" t="s">
        <v>225</v>
      </c>
      <c r="C187" s="43" t="s">
        <v>278</v>
      </c>
      <c r="D187" s="36" t="s">
        <v>5204</v>
      </c>
      <c r="E187" s="48" t="str">
        <f ca="1">IFERROR(__xludf.DUMMYFUNCTION("GOOGLETRANSLATE(D187)"),"Forms Xamarin learn to develop multiplatform Apps")</f>
        <v>Forms Xamarin learn to develop multiplatform Apps</v>
      </c>
      <c r="F187" s="36" t="s">
        <v>4912</v>
      </c>
      <c r="G187" s="45">
        <v>4.5555310000000002</v>
      </c>
      <c r="H187" s="45">
        <v>13.840277</v>
      </c>
      <c r="I187" s="46" t="s">
        <v>17</v>
      </c>
    </row>
    <row r="188" spans="1:9" ht="12.5">
      <c r="A188" s="41">
        <v>1276488</v>
      </c>
      <c r="B188" s="36" t="s">
        <v>225</v>
      </c>
      <c r="C188" s="36" t="s">
        <v>278</v>
      </c>
      <c r="D188" s="36" t="s">
        <v>5205</v>
      </c>
      <c r="E188" s="48" t="str">
        <f ca="1">IFERROR(__xludf.DUMMYFUNCTION("GOOGLETRANSLATE(D188)"),"full course of Swift 5, the language Apple apps")</f>
        <v>full course of Swift 5, the language Apple apps</v>
      </c>
      <c r="F188" s="36" t="s">
        <v>4943</v>
      </c>
      <c r="G188" s="45">
        <v>4.738791</v>
      </c>
      <c r="H188" s="45">
        <v>33.732224000000002</v>
      </c>
      <c r="I188" s="46" t="s">
        <v>21</v>
      </c>
    </row>
    <row r="189" spans="1:9" ht="12.5">
      <c r="A189" s="41">
        <v>1145678</v>
      </c>
      <c r="B189" s="36" t="s">
        <v>225</v>
      </c>
      <c r="C189" s="36" t="s">
        <v>278</v>
      </c>
      <c r="D189" s="43" t="s">
        <v>5206</v>
      </c>
      <c r="E189" s="44" t="str">
        <f ca="1">IFERROR(__xludf.DUMMYFUNCTION("GOOGLETRANSLATE(D189)"),"Ionic 2/3: Create apps for Android and iOS from scratch. (Legacy)")</f>
        <v>Ionic 2/3: Create apps for Android and iOS from scratch. (Legacy)</v>
      </c>
      <c r="F189" s="36" t="s">
        <v>5095</v>
      </c>
      <c r="G189" s="45">
        <v>4.4002046999999997</v>
      </c>
      <c r="H189" s="45">
        <v>19.910833</v>
      </c>
      <c r="I189" s="46" t="s">
        <v>17</v>
      </c>
    </row>
    <row r="190" spans="1:9" ht="12.5">
      <c r="A190" s="41">
        <v>1285458</v>
      </c>
      <c r="B190" s="42" t="s">
        <v>225</v>
      </c>
      <c r="C190" s="43" t="s">
        <v>278</v>
      </c>
      <c r="D190" s="36" t="s">
        <v>5207</v>
      </c>
      <c r="E190" s="48" t="str">
        <f ca="1">IFERROR(__xludf.DUMMYFUNCTION("GOOGLETRANSLATE(D190)"),"Substance Painter: Textured PBR for videojuegos.")</f>
        <v>Substance Painter: Textured PBR for videojuegos.</v>
      </c>
      <c r="F190" s="36" t="s">
        <v>5025</v>
      </c>
      <c r="G190" s="45">
        <v>4.6434044999999999</v>
      </c>
      <c r="H190" s="45">
        <v>11.740833</v>
      </c>
      <c r="I190" s="46" t="s">
        <v>21</v>
      </c>
    </row>
    <row r="191" spans="1:9" ht="12.5">
      <c r="A191" s="41">
        <v>2114878</v>
      </c>
      <c r="B191" s="42" t="s">
        <v>225</v>
      </c>
      <c r="C191" s="43" t="s">
        <v>278</v>
      </c>
      <c r="D191" s="36" t="s">
        <v>5208</v>
      </c>
      <c r="E191" s="48" t="str">
        <f ca="1">IFERROR(__xludf.DUMMYFUNCTION("GOOGLETRANSLATE(D191)"),"Video game development Phaser 3 - Initiation")</f>
        <v>Video game development Phaser 3 - Initiation</v>
      </c>
      <c r="F191" s="36" t="s">
        <v>5209</v>
      </c>
      <c r="G191" s="45">
        <v>4.4224815</v>
      </c>
      <c r="H191" s="45">
        <v>1.511944</v>
      </c>
      <c r="I191" s="46" t="s">
        <v>21</v>
      </c>
    </row>
    <row r="192" spans="1:9" ht="12.5">
      <c r="A192" s="47">
        <v>2646728</v>
      </c>
      <c r="B192" s="36" t="s">
        <v>225</v>
      </c>
      <c r="C192" s="36" t="s">
        <v>278</v>
      </c>
      <c r="D192" s="36" t="s">
        <v>5210</v>
      </c>
      <c r="E192" s="48" t="str">
        <f ca="1">IFERROR(__xludf.DUMMYFUNCTION("GOOGLETRANSLATE(D192)"),"React Native + Expo: Guia Inicial con Native Base y Redux")</f>
        <v>React Native + Expo: Guia Inicial con Native Base y Redux</v>
      </c>
      <c r="F192" s="36" t="s">
        <v>5211</v>
      </c>
      <c r="G192" s="45">
        <v>3.9713759999999998</v>
      </c>
      <c r="H192" s="45">
        <v>9.9616659999999992</v>
      </c>
      <c r="I192" s="46" t="s">
        <v>72</v>
      </c>
    </row>
    <row r="193" spans="1:9" ht="12.5">
      <c r="A193" s="41">
        <v>1371564</v>
      </c>
      <c r="B193" s="42" t="s">
        <v>225</v>
      </c>
      <c r="C193" s="43" t="s">
        <v>278</v>
      </c>
      <c r="D193" s="36" t="s">
        <v>5212</v>
      </c>
      <c r="E193" s="48" t="str">
        <f ca="1">IFERROR(__xludf.DUMMYFUNCTION("GOOGLETRANSLATE(D193)"),"Bootcamp Android apps programming from scratch with JB")</f>
        <v>Bootcamp Android apps programming from scratch with JB</v>
      </c>
      <c r="F193" s="36" t="s">
        <v>4943</v>
      </c>
      <c r="G193" s="45">
        <v>4.4360986000000002</v>
      </c>
      <c r="H193" s="45">
        <v>61.168056</v>
      </c>
      <c r="I193" s="46" t="s">
        <v>21</v>
      </c>
    </row>
    <row r="194" spans="1:9" ht="12.5">
      <c r="A194" s="41">
        <v>1521542</v>
      </c>
      <c r="B194" s="36" t="s">
        <v>225</v>
      </c>
      <c r="C194" s="36" t="s">
        <v>278</v>
      </c>
      <c r="D194" s="36" t="s">
        <v>5213</v>
      </c>
      <c r="E194" s="48" t="str">
        <f ca="1">IFERROR(__xludf.DUMMYFUNCTION("GOOGLETRANSLATE(D194)"),"Advanced course on selected topics of Xamarin Forms")</f>
        <v>Advanced course on selected topics of Xamarin Forms</v>
      </c>
      <c r="F194" s="36" t="s">
        <v>4912</v>
      </c>
      <c r="G194" s="45">
        <v>4.3276130000000004</v>
      </c>
      <c r="H194" s="45">
        <v>9.5816660000000002</v>
      </c>
      <c r="I194" s="46" t="s">
        <v>72</v>
      </c>
    </row>
    <row r="195" spans="1:9" ht="12.5">
      <c r="A195" s="41">
        <v>958164</v>
      </c>
      <c r="B195" s="36" t="s">
        <v>225</v>
      </c>
      <c r="C195" s="36" t="s">
        <v>278</v>
      </c>
      <c r="D195" s="36" t="s">
        <v>5214</v>
      </c>
      <c r="E195" s="48" t="str">
        <f ca="1">IFERROR(__xludf.DUMMYFUNCTION("GOOGLETRANSLATE(D195)"),"Learn how to create your own apps for Android N from scratch")</f>
        <v>Learn how to create your own apps for Android N from scratch</v>
      </c>
      <c r="F195" s="36" t="s">
        <v>4943</v>
      </c>
      <c r="G195" s="45">
        <v>4.4608702999999998</v>
      </c>
      <c r="H195" s="45">
        <v>19.642220999999999</v>
      </c>
      <c r="I195" s="46" t="s">
        <v>21</v>
      </c>
    </row>
    <row r="196" spans="1:9" ht="12.5">
      <c r="A196" s="41">
        <v>1864090</v>
      </c>
      <c r="B196" s="42" t="s">
        <v>225</v>
      </c>
      <c r="C196" s="43" t="s">
        <v>278</v>
      </c>
      <c r="D196" s="43" t="s">
        <v>5215</v>
      </c>
      <c r="E196" s="44" t="str">
        <f ca="1">IFERROR(__xludf.DUMMYFUNCTION("GOOGLETRANSLATE(D196)"),"AndroidX course and Firebase Java and crud Login Data")</f>
        <v>AndroidX course and Firebase Java and crud Login Data</v>
      </c>
      <c r="F196" s="36" t="s">
        <v>5216</v>
      </c>
      <c r="G196" s="45">
        <v>3.9693160000000001</v>
      </c>
      <c r="H196" s="45">
        <v>11.18</v>
      </c>
      <c r="I196" s="46" t="s">
        <v>21</v>
      </c>
    </row>
    <row r="197" spans="1:9" ht="12.5">
      <c r="A197" s="47">
        <v>792652</v>
      </c>
      <c r="B197" s="36" t="s">
        <v>225</v>
      </c>
      <c r="C197" s="36" t="s">
        <v>278</v>
      </c>
      <c r="D197" s="36" t="s">
        <v>5217</v>
      </c>
      <c r="E197" s="48" t="str">
        <f ca="1">IFERROR(__xludf.DUMMYFUNCTION("GOOGLETRANSLATE(D197)"),"Develop Android Applications with App Inventor from Scratch")</f>
        <v>Develop Android Applications with App Inventor from Scratch</v>
      </c>
      <c r="F197" s="36" t="s">
        <v>5118</v>
      </c>
      <c r="G197" s="45">
        <v>4.4681410000000001</v>
      </c>
      <c r="H197" s="45">
        <v>7.0733329999999999</v>
      </c>
      <c r="I197" s="46" t="s">
        <v>21</v>
      </c>
    </row>
    <row r="198" spans="1:9" ht="12.5">
      <c r="A198" s="41">
        <v>971990</v>
      </c>
      <c r="B198" s="42" t="s">
        <v>225</v>
      </c>
      <c r="C198" s="43" t="s">
        <v>278</v>
      </c>
      <c r="D198" s="36" t="s">
        <v>5218</v>
      </c>
      <c r="E198" s="48" t="str">
        <f ca="1">IFERROR(__xludf.DUMMYFUNCTION("GOOGLETRANSLATE(D198)"),"Introduction to the development of apps for Android with JB")</f>
        <v>Introduction to the development of apps for Android with JB</v>
      </c>
      <c r="F198" s="36" t="s">
        <v>4943</v>
      </c>
      <c r="G198" s="45">
        <v>4.2011469999999997</v>
      </c>
      <c r="H198" s="45">
        <v>22.15361</v>
      </c>
      <c r="I198" s="46" t="s">
        <v>17</v>
      </c>
    </row>
    <row r="199" spans="1:9" ht="12.5">
      <c r="A199" s="41">
        <v>1454454</v>
      </c>
      <c r="B199" s="36" t="s">
        <v>225</v>
      </c>
      <c r="C199" s="36" t="s">
        <v>278</v>
      </c>
      <c r="D199" s="43" t="s">
        <v>5219</v>
      </c>
      <c r="E199" s="44" t="str">
        <f ca="1">IFERROR(__xludf.DUMMYFUNCTION("GOOGLETRANSLATE(D199)"),"laravel intensive and Android using JWT and Kotlin")</f>
        <v>laravel intensive and Android using JWT and Kotlin</v>
      </c>
      <c r="F199" s="36" t="s">
        <v>5220</v>
      </c>
      <c r="G199" s="45">
        <v>4.5404105000000001</v>
      </c>
      <c r="H199" s="45">
        <v>37.790554</v>
      </c>
      <c r="I199" s="46" t="s">
        <v>72</v>
      </c>
    </row>
    <row r="200" spans="1:9" ht="12.5">
      <c r="A200" s="41">
        <v>1493392</v>
      </c>
      <c r="B200" s="42" t="s">
        <v>225</v>
      </c>
      <c r="C200" s="43" t="s">
        <v>278</v>
      </c>
      <c r="D200" s="36" t="s">
        <v>5221</v>
      </c>
      <c r="E200" s="48" t="str">
        <f ca="1">IFERROR(__xludf.DUMMYFUNCTION("GOOGLETRANSLATE(D200)"),"Xamarin Forms: Create Android Apps, iOS y con Windows C #!")</f>
        <v>Xamarin Forms: Create Android Apps, iOS y con Windows C #!</v>
      </c>
      <c r="F200" s="36" t="s">
        <v>4953</v>
      </c>
      <c r="G200" s="45">
        <v>4.2311487000000003</v>
      </c>
      <c r="H200" s="45">
        <v>5.576111</v>
      </c>
      <c r="I200" s="46" t="s">
        <v>17</v>
      </c>
    </row>
    <row r="201" spans="1:9" ht="12.5">
      <c r="A201" s="41">
        <v>1864346</v>
      </c>
      <c r="B201" s="42" t="s">
        <v>225</v>
      </c>
      <c r="C201" s="43" t="s">
        <v>278</v>
      </c>
      <c r="D201" s="43" t="s">
        <v>5222</v>
      </c>
      <c r="E201" s="44" t="str">
        <f ca="1">IFERROR(__xludf.DUMMYFUNCTION("GOOGLETRANSLATE(D201)"),"Xamarin course for Android and Firebase in C # Login and crud")</f>
        <v>Xamarin course for Android and Firebase in C # Login and crud</v>
      </c>
      <c r="F201" s="36" t="s">
        <v>5216</v>
      </c>
      <c r="G201" s="45">
        <v>3.9901795</v>
      </c>
      <c r="H201" s="45">
        <v>17.907499999999999</v>
      </c>
      <c r="I201" s="46" t="s">
        <v>21</v>
      </c>
    </row>
    <row r="202" spans="1:9" ht="12.5">
      <c r="A202" s="41">
        <v>883176</v>
      </c>
      <c r="B202" s="42" t="s">
        <v>225</v>
      </c>
      <c r="C202" s="43" t="s">
        <v>278</v>
      </c>
      <c r="D202" s="43" t="s">
        <v>5223</v>
      </c>
      <c r="E202" s="44" t="str">
        <f ca="1">IFERROR(__xludf.DUMMYFUNCTION("GOOGLETRANSLATE(D202)"),"Full course iOS 10 and Swift 3: Zero to Expert with JB")</f>
        <v>Full course iOS 10 and Swift 3: Zero to Expert with JB</v>
      </c>
      <c r="F202" s="36" t="s">
        <v>4943</v>
      </c>
      <c r="G202" s="45">
        <v>4.4117617999999998</v>
      </c>
      <c r="H202" s="45">
        <v>48.478610000000003</v>
      </c>
      <c r="I202" s="46" t="s">
        <v>21</v>
      </c>
    </row>
    <row r="203" spans="1:9" ht="12.5">
      <c r="A203" s="41">
        <v>946204</v>
      </c>
      <c r="B203" s="36" t="s">
        <v>225</v>
      </c>
      <c r="C203" s="36" t="s">
        <v>278</v>
      </c>
      <c r="D203" s="36" t="s">
        <v>5224</v>
      </c>
      <c r="E203" s="48" t="str">
        <f ca="1">IFERROR(__xludf.DUMMYFUNCTION("GOOGLETRANSLATE(D203)"),"Create your own Pokemon Go for iOS")</f>
        <v>Create your own Pokemon Go for iOS</v>
      </c>
      <c r="F203" s="36" t="s">
        <v>4943</v>
      </c>
      <c r="G203" s="45">
        <v>4.8583590000000001</v>
      </c>
      <c r="H203" s="45">
        <v>6.8477769999999998</v>
      </c>
      <c r="I203" s="46" t="s">
        <v>72</v>
      </c>
    </row>
    <row r="204" spans="1:9" ht="12.5">
      <c r="A204" s="41">
        <v>1905940</v>
      </c>
      <c r="B204" s="42" t="s">
        <v>225</v>
      </c>
      <c r="C204" s="43" t="s">
        <v>278</v>
      </c>
      <c r="D204" s="36" t="s">
        <v>5225</v>
      </c>
      <c r="E204" s="48" t="str">
        <f ca="1">IFERROR(__xludf.DUMMYFUNCTION("GOOGLETRANSLATE(D204)"),"IOS application development 12 5 Xcode swift 10")</f>
        <v>IOS application development 12 5 Xcode swift 10</v>
      </c>
      <c r="F204" s="36" t="s">
        <v>5226</v>
      </c>
      <c r="G204" s="45">
        <v>4.5323510000000002</v>
      </c>
      <c r="H204" s="45">
        <v>34.220832999999999</v>
      </c>
      <c r="I204" s="46" t="s">
        <v>21</v>
      </c>
    </row>
    <row r="205" spans="1:9" ht="12.5">
      <c r="A205" s="47">
        <v>788524</v>
      </c>
      <c r="B205" s="36" t="s">
        <v>225</v>
      </c>
      <c r="C205" s="36" t="s">
        <v>278</v>
      </c>
      <c r="D205" s="36" t="s">
        <v>5227</v>
      </c>
      <c r="E205" s="48" t="str">
        <f ca="1">IFERROR(__xludf.DUMMYFUNCTION("GOOGLETRANSLATE(D205)"),"Complete Course Development Apps for Apple Watch")</f>
        <v>Complete Course Development Apps for Apple Watch</v>
      </c>
      <c r="F205" s="36" t="s">
        <v>4943</v>
      </c>
      <c r="G205" s="45">
        <v>4.4983396999999998</v>
      </c>
      <c r="H205" s="45">
        <v>20.546389000000001</v>
      </c>
      <c r="I205" s="46" t="s">
        <v>21</v>
      </c>
    </row>
    <row r="206" spans="1:9" ht="12.5">
      <c r="A206" s="41">
        <v>1242880</v>
      </c>
      <c r="B206" s="36" t="s">
        <v>225</v>
      </c>
      <c r="C206" s="36" t="s">
        <v>278</v>
      </c>
      <c r="D206" s="36" t="s">
        <v>5228</v>
      </c>
      <c r="E206" s="48" t="str">
        <f ca="1">IFERROR(__xludf.DUMMYFUNCTION("GOOGLETRANSLATE(D206)"),"full course of iOS 11 and Swift: zero expert with JB")</f>
        <v>full course of iOS 11 and Swift: zero expert with JB</v>
      </c>
      <c r="F206" s="36" t="s">
        <v>4943</v>
      </c>
      <c r="G206" s="45">
        <v>3.6019576</v>
      </c>
      <c r="H206" s="45">
        <v>55.615276000000001</v>
      </c>
      <c r="I206" s="46" t="s">
        <v>21</v>
      </c>
    </row>
    <row r="207" spans="1:9" ht="12.5">
      <c r="A207" s="41">
        <v>1406350</v>
      </c>
      <c r="B207" s="42" t="s">
        <v>225</v>
      </c>
      <c r="C207" s="43" t="s">
        <v>278</v>
      </c>
      <c r="D207" s="36" t="s">
        <v>5229</v>
      </c>
      <c r="E207" s="48" t="str">
        <f ca="1">IFERROR(__xludf.DUMMYFUNCTION("GOOGLETRANSLATE(D207)"),"IOS 11 and Swift 4 - from novice to expert")</f>
        <v>IOS 11 and Swift 4 - from novice to expert</v>
      </c>
      <c r="F207" s="36" t="s">
        <v>5230</v>
      </c>
      <c r="G207" s="45">
        <v>4.4379096000000002</v>
      </c>
      <c r="H207" s="45">
        <v>20.005554</v>
      </c>
      <c r="I207" s="46" t="s">
        <v>21</v>
      </c>
    </row>
    <row r="208" spans="1:9" ht="12.5">
      <c r="A208" s="41">
        <v>1292574</v>
      </c>
      <c r="B208" s="42" t="s">
        <v>225</v>
      </c>
      <c r="C208" s="43" t="s">
        <v>278</v>
      </c>
      <c r="D208" s="36" t="s">
        <v>5231</v>
      </c>
      <c r="E208" s="48" t="str">
        <f ca="1">IFERROR(__xludf.DUMMYFUNCTION("GOOGLETRANSLATE(D208)"),"Android Application Development Studio with Kotlin")</f>
        <v>Android Application Development Studio with Kotlin</v>
      </c>
      <c r="F208" s="36" t="s">
        <v>5232</v>
      </c>
      <c r="G208" s="45">
        <v>4.7032920000000003</v>
      </c>
      <c r="H208" s="45">
        <v>9.9002770000000009</v>
      </c>
      <c r="I208" s="46" t="s">
        <v>21</v>
      </c>
    </row>
    <row r="209" spans="1:9" ht="12.5">
      <c r="A209" s="41">
        <v>1752920</v>
      </c>
      <c r="B209" s="36" t="s">
        <v>225</v>
      </c>
      <c r="C209" s="36" t="s">
        <v>278</v>
      </c>
      <c r="D209" s="43" t="s">
        <v>5233</v>
      </c>
      <c r="E209" s="44" t="str">
        <f ca="1">IFERROR(__xludf.DUMMYFUNCTION("GOOGLETRANSLATE(D209)"),"full course of iOS 12: zero expert")</f>
        <v>full course of iOS 12: zero expert</v>
      </c>
      <c r="F209" s="36" t="s">
        <v>4943</v>
      </c>
      <c r="G209" s="45">
        <v>4.6010710000000001</v>
      </c>
      <c r="H209" s="45">
        <v>57.112220000000001</v>
      </c>
      <c r="I209" s="36" t="s">
        <v>21</v>
      </c>
    </row>
    <row r="210" spans="1:9" ht="12.5">
      <c r="A210" s="47">
        <v>3169210</v>
      </c>
      <c r="B210" s="36" t="s">
        <v>225</v>
      </c>
      <c r="C210" s="36" t="s">
        <v>278</v>
      </c>
      <c r="D210" s="36" t="s">
        <v>5234</v>
      </c>
      <c r="E210" s="48" t="str">
        <f ca="1">IFERROR(__xludf.DUMMYFUNCTION("GOOGLETRANSLATE(D210)"),"Create Social Network with PPP style WHATSAPP Chat with Android")</f>
        <v>Create Social Network with PPP style WHATSAPP Chat with Android</v>
      </c>
      <c r="F210" s="36" t="s">
        <v>5178</v>
      </c>
      <c r="G210" s="45">
        <v>4.594042</v>
      </c>
      <c r="H210" s="45">
        <v>20.823055</v>
      </c>
      <c r="I210" s="46" t="s">
        <v>21</v>
      </c>
    </row>
    <row r="211" spans="1:9" ht="12.5">
      <c r="A211" s="41">
        <v>241844</v>
      </c>
      <c r="B211" s="42" t="s">
        <v>225</v>
      </c>
      <c r="C211" s="43" t="s">
        <v>278</v>
      </c>
      <c r="D211" s="36" t="s">
        <v>5235</v>
      </c>
      <c r="E211" s="48" t="str">
        <f ca="1">IFERROR(__xludf.DUMMYFUNCTION("GOOGLETRANSLATE(D211)"),"iOS 9 and Swift 2 | Complete Course and Desde Cero")</f>
        <v>iOS 9 and Swift 2 | Complete Course and Desde Cero</v>
      </c>
      <c r="F211" s="36" t="s">
        <v>5116</v>
      </c>
      <c r="G211" s="45">
        <v>4.3583455000000004</v>
      </c>
      <c r="H211" s="45">
        <v>14.614166000000001</v>
      </c>
      <c r="I211" s="46" t="s">
        <v>21</v>
      </c>
    </row>
    <row r="212" spans="1:9" ht="12.5">
      <c r="A212" s="41">
        <v>865750</v>
      </c>
      <c r="B212" s="36" t="s">
        <v>225</v>
      </c>
      <c r="C212" s="36" t="s">
        <v>278</v>
      </c>
      <c r="D212" s="43" t="s">
        <v>5236</v>
      </c>
      <c r="E212" s="44" t="str">
        <f ca="1">IFERROR(__xludf.DUMMYFUNCTION("GOOGLETRANSLATE(D212)"),"Complete course in Swift Core Data - Data Persistence")</f>
        <v>Complete course in Swift Core Data - Data Persistence</v>
      </c>
      <c r="F212" s="36" t="s">
        <v>4943</v>
      </c>
      <c r="G212" s="45">
        <v>4.4009479999999996</v>
      </c>
      <c r="H212" s="45">
        <v>9.1058330000000005</v>
      </c>
      <c r="I212" s="36" t="s">
        <v>72</v>
      </c>
    </row>
    <row r="213" spans="1:9" ht="12.5">
      <c r="A213" s="41">
        <v>2397342</v>
      </c>
      <c r="B213" s="42" t="s">
        <v>225</v>
      </c>
      <c r="C213" s="43" t="s">
        <v>278</v>
      </c>
      <c r="D213" s="36" t="s">
        <v>5237</v>
      </c>
      <c r="E213" s="48" t="str">
        <f ca="1">IFERROR(__xludf.DUMMYFUNCTION("GOOGLETRANSLATE(D213)"),"Design apps for iOS Swift 13 UI from scratch")</f>
        <v>Design apps for iOS Swift 13 UI from scratch</v>
      </c>
      <c r="F213" s="36" t="s">
        <v>4943</v>
      </c>
      <c r="G213" s="45">
        <v>4.6898210000000002</v>
      </c>
      <c r="H213" s="45">
        <v>8.8275000000000006</v>
      </c>
      <c r="I213" s="46" t="s">
        <v>21</v>
      </c>
    </row>
    <row r="214" spans="1:9" ht="12.5">
      <c r="A214" s="47">
        <v>2634182</v>
      </c>
      <c r="B214" s="36" t="s">
        <v>225</v>
      </c>
      <c r="C214" s="36" t="s">
        <v>278</v>
      </c>
      <c r="D214" s="36" t="s">
        <v>5238</v>
      </c>
      <c r="E214" s="48" t="str">
        <f ca="1">IFERROR(__xludf.DUMMYFUNCTION("GOOGLETRANSLATE(D214)"),"Augmented Reality (Augmented Reality AR) in Unity and Vuforia")</f>
        <v>Augmented Reality (Augmented Reality AR) in Unity and Vuforia</v>
      </c>
      <c r="F214" s="36" t="s">
        <v>5239</v>
      </c>
      <c r="G214" s="45">
        <v>4.6239223000000003</v>
      </c>
      <c r="H214" s="45">
        <v>18.205276000000001</v>
      </c>
      <c r="I214" s="46" t="s">
        <v>21</v>
      </c>
    </row>
    <row r="215" spans="1:9" ht="12.5">
      <c r="A215" s="47">
        <v>1265942</v>
      </c>
      <c r="B215" s="36" t="s">
        <v>225</v>
      </c>
      <c r="C215" s="36" t="s">
        <v>226</v>
      </c>
      <c r="D215" s="36" t="s">
        <v>5240</v>
      </c>
      <c r="E215" s="48" t="str">
        <f ca="1">IFERROR(__xludf.DUMMYFUNCTION("GOOGLETRANSLATE(D215)"),"Java University - Master Zero to +100 hrs (JDK 15 update)")</f>
        <v>Java University - Master Zero to +100 hrs (JDK 15 update)</v>
      </c>
      <c r="F215" s="36" t="s">
        <v>5241</v>
      </c>
      <c r="G215" s="45">
        <v>4.7122710000000003</v>
      </c>
      <c r="H215" s="45">
        <v>100.61278</v>
      </c>
      <c r="I215" s="46" t="s">
        <v>21</v>
      </c>
    </row>
    <row r="216" spans="1:9" ht="12.5">
      <c r="A216" s="41">
        <v>445380</v>
      </c>
      <c r="B216" s="36" t="s">
        <v>225</v>
      </c>
      <c r="C216" s="36" t="s">
        <v>226</v>
      </c>
      <c r="D216" s="36" t="s">
        <v>5242</v>
      </c>
      <c r="E216" s="48" t="str">
        <f ca="1">IFERROR(__xludf.DUMMYFUNCTION("GOOGLETRANSLATE(D216)"),"Learn Programming in Python")</f>
        <v>Learn Programming in Python</v>
      </c>
      <c r="F216" s="36" t="s">
        <v>5243</v>
      </c>
      <c r="G216" s="45">
        <v>4.7269515999999996</v>
      </c>
      <c r="H216" s="45">
        <v>9.2938880000000008</v>
      </c>
      <c r="I216" s="46" t="s">
        <v>21</v>
      </c>
    </row>
    <row r="217" spans="1:9" ht="12.5">
      <c r="A217" s="47">
        <v>1192848</v>
      </c>
      <c r="B217" s="36" t="s">
        <v>225</v>
      </c>
      <c r="C217" s="36" t="s">
        <v>226</v>
      </c>
      <c r="D217" s="36" t="s">
        <v>5244</v>
      </c>
      <c r="E217" s="48" t="str">
        <f ca="1">IFERROR(__xludf.DUMMYFUNCTION("GOOGLETRANSLATE(D217)"),"Programming Fundamentals")</f>
        <v>Programming Fundamentals</v>
      </c>
      <c r="F217" s="36" t="s">
        <v>5153</v>
      </c>
      <c r="G217" s="45">
        <v>4.3741630000000002</v>
      </c>
      <c r="H217" s="45">
        <v>3.3163879999999999</v>
      </c>
      <c r="I217" s="46" t="s">
        <v>17</v>
      </c>
    </row>
    <row r="218" spans="1:9" ht="12.5">
      <c r="A218" s="41">
        <v>769366</v>
      </c>
      <c r="B218" s="42" t="s">
        <v>225</v>
      </c>
      <c r="C218" s="43" t="s">
        <v>226</v>
      </c>
      <c r="D218" s="43" t="s">
        <v>5245</v>
      </c>
      <c r="E218" s="44" t="str">
        <f ca="1">IFERROR(__xludf.DUMMYFUNCTION("GOOGLETRANSLATE(D218)"),"Functional Programming in Java with lambdas and Streams")</f>
        <v>Functional Programming in Java with lambdas and Streams</v>
      </c>
      <c r="F218" s="36" t="s">
        <v>5246</v>
      </c>
      <c r="G218" s="45">
        <v>4.4881890000000002</v>
      </c>
      <c r="H218" s="45">
        <v>1.816111</v>
      </c>
      <c r="I218" s="46" t="s">
        <v>21</v>
      </c>
    </row>
    <row r="219" spans="1:9" ht="12.5">
      <c r="A219" s="47">
        <v>2680160</v>
      </c>
      <c r="B219" s="36" t="s">
        <v>225</v>
      </c>
      <c r="C219" s="36" t="s">
        <v>226</v>
      </c>
      <c r="D219" s="36" t="s">
        <v>5247</v>
      </c>
      <c r="E219" s="48" t="str">
        <f ca="1">IFERROR(__xludf.DUMMYFUNCTION("GOOGLETRANSLATE(D219)"),"Modern JavaScript Guide to master the language")</f>
        <v>Modern JavaScript Guide to master the language</v>
      </c>
      <c r="F219" s="36" t="s">
        <v>5095</v>
      </c>
      <c r="G219" s="45">
        <v>4.7667704000000004</v>
      </c>
      <c r="H219" s="45">
        <v>17.265554000000002</v>
      </c>
      <c r="I219" s="36" t="s">
        <v>21</v>
      </c>
    </row>
    <row r="220" spans="1:9" ht="12.5">
      <c r="A220" s="41">
        <v>2013214</v>
      </c>
      <c r="B220" s="36" t="s">
        <v>225</v>
      </c>
      <c r="C220" s="36" t="s">
        <v>226</v>
      </c>
      <c r="D220" s="43" t="s">
        <v>5248</v>
      </c>
      <c r="E220" s="44" t="str">
        <f ca="1">IFERROR(__xludf.DUMMYFUNCTION("GOOGLETRANSLATE(D220)"),"Learn to program with Go (Golang)")</f>
        <v>Learn to program with Go (Golang)</v>
      </c>
      <c r="F220" s="36" t="s">
        <v>5249</v>
      </c>
      <c r="G220" s="45">
        <v>4.5415162999999996</v>
      </c>
      <c r="H220" s="45">
        <v>27.571387999999999</v>
      </c>
      <c r="I220" s="36" t="s">
        <v>17</v>
      </c>
    </row>
    <row r="221" spans="1:9" ht="12.5">
      <c r="A221" s="41">
        <v>802946</v>
      </c>
      <c r="B221" s="36" t="s">
        <v>225</v>
      </c>
      <c r="C221" s="36" t="s">
        <v>226</v>
      </c>
      <c r="D221" s="43" t="s">
        <v>5250</v>
      </c>
      <c r="E221" s="44" t="str">
        <f ca="1">IFERROR(__xludf.DUMMYFUNCTION("GOOGLETRANSLATE(D221)"),"Learn Programming in Java (from basic to advanced)")</f>
        <v>Learn Programming in Java (from basic to advanced)</v>
      </c>
      <c r="F221" s="36" t="s">
        <v>5243</v>
      </c>
      <c r="G221" s="45">
        <v>4.6988535000000002</v>
      </c>
      <c r="H221" s="45">
        <v>55.748609999999999</v>
      </c>
      <c r="I221" s="46" t="s">
        <v>21</v>
      </c>
    </row>
    <row r="222" spans="1:9" ht="12.5">
      <c r="A222" s="41">
        <v>2867812</v>
      </c>
      <c r="B222" s="42" t="s">
        <v>225</v>
      </c>
      <c r="C222" s="43" t="s">
        <v>226</v>
      </c>
      <c r="D222" s="36" t="s">
        <v>5251</v>
      </c>
      <c r="E222" s="48" t="str">
        <f ca="1">IFERROR(__xludf.DUMMYFUNCTION("GOOGLETRANSLATE(D222)"),"University Python - Django, Flask, Postgresql and more! + 40hrs")</f>
        <v>University Python - Django, Flask, Postgresql and more! + 40hrs</v>
      </c>
      <c r="F222" s="36" t="s">
        <v>5241</v>
      </c>
      <c r="G222" s="45">
        <v>4.6983556999999996</v>
      </c>
      <c r="H222" s="45">
        <v>40.010277000000002</v>
      </c>
      <c r="I222" s="46" t="s">
        <v>21</v>
      </c>
    </row>
    <row r="223" spans="1:9" ht="12.5">
      <c r="A223" s="47">
        <v>607038</v>
      </c>
      <c r="B223" s="36" t="s">
        <v>225</v>
      </c>
      <c r="C223" s="36" t="s">
        <v>226</v>
      </c>
      <c r="D223" s="36" t="s">
        <v>5252</v>
      </c>
      <c r="E223" s="48" t="str">
        <f ca="1">IFERROR(__xludf.DUMMYFUNCTION("GOOGLETRANSLATE(D223)"),"Programming Fundamentals - Learn to program from scratch")</f>
        <v>Programming Fundamentals - Learn to program from scratch</v>
      </c>
      <c r="F223" s="36" t="s">
        <v>5243</v>
      </c>
      <c r="G223" s="45">
        <v>4.7491636000000002</v>
      </c>
      <c r="H223" s="45">
        <v>29.15</v>
      </c>
      <c r="I223" s="36" t="s">
        <v>21</v>
      </c>
    </row>
    <row r="224" spans="1:9" ht="12.5">
      <c r="A224" s="41">
        <v>1392412</v>
      </c>
      <c r="B224" s="36" t="s">
        <v>225</v>
      </c>
      <c r="C224" s="36" t="s">
        <v>226</v>
      </c>
      <c r="D224" s="36" t="s">
        <v>5253</v>
      </c>
      <c r="E224" s="48" t="str">
        <f ca="1">IFERROR(__xludf.DUMMYFUNCTION("GOOGLETRANSLATE(D224)"),"Android and Kotlin From Zero to Full Professional +45 hours")</f>
        <v>Android and Kotlin From Zero to Full Professional +45 hours</v>
      </c>
      <c r="F224" s="36" t="s">
        <v>5116</v>
      </c>
      <c r="G224" s="45">
        <v>4.2736573</v>
      </c>
      <c r="H224" s="45">
        <v>47.581944</v>
      </c>
      <c r="I224" s="46" t="s">
        <v>21</v>
      </c>
    </row>
    <row r="225" spans="1:9" ht="12.5">
      <c r="A225" s="41">
        <v>1303122</v>
      </c>
      <c r="B225" s="36" t="s">
        <v>225</v>
      </c>
      <c r="C225" s="36" t="s">
        <v>226</v>
      </c>
      <c r="D225" s="36" t="s">
        <v>5254</v>
      </c>
      <c r="E225" s="48" t="str">
        <f ca="1">IFERROR(__xludf.DUMMYFUNCTION("GOOGLETRANSLATE(D225)"),"Java EE - From zero to Expert (EJB, JPA, Web Services, JSF)")</f>
        <v>Java EE - From zero to Expert (EJB, JPA, Web Services, JSF)</v>
      </c>
      <c r="F225" s="36" t="s">
        <v>5241</v>
      </c>
      <c r="G225" s="45">
        <v>4.1803565000000003</v>
      </c>
      <c r="H225" s="45">
        <v>69.870279999999994</v>
      </c>
      <c r="I225" s="46" t="s">
        <v>21</v>
      </c>
    </row>
    <row r="226" spans="1:9" ht="12.5">
      <c r="A226" s="47">
        <v>484388</v>
      </c>
      <c r="B226" s="36" t="s">
        <v>225</v>
      </c>
      <c r="C226" s="36" t="s">
        <v>226</v>
      </c>
      <c r="D226" s="36" t="s">
        <v>5255</v>
      </c>
      <c r="E226" s="48" t="str">
        <f ca="1">IFERROR(__xludf.DUMMYFUNCTION("GOOGLETRANSLATE(D226)"),"Learn Programming in C ++ (Basic - Intermediate - Advanced)")</f>
        <v>Learn Programming in C ++ (Basic - Intermediate - Advanced)</v>
      </c>
      <c r="F226" s="36" t="s">
        <v>5243</v>
      </c>
      <c r="G226" s="45">
        <v>4.6898812999999997</v>
      </c>
      <c r="H226" s="45">
        <v>45.370277000000002</v>
      </c>
      <c r="I226" s="46" t="s">
        <v>21</v>
      </c>
    </row>
    <row r="227" spans="1:9" ht="12.5">
      <c r="A227" s="41">
        <v>797188</v>
      </c>
      <c r="B227" s="42" t="s">
        <v>225</v>
      </c>
      <c r="C227" s="43" t="s">
        <v>226</v>
      </c>
      <c r="D227" s="36" t="s">
        <v>5256</v>
      </c>
      <c r="E227" s="48" t="str">
        <f ca="1">IFERROR(__xludf.DUMMYFUNCTION("GOOGLETRANSLATE(D227)"),"Learn Programming C # with Visual Studio 2017 FROM SCRATCH")</f>
        <v>Learn Programming C # with Visual Studio 2017 FROM SCRATCH</v>
      </c>
      <c r="F227" s="36" t="s">
        <v>5017</v>
      </c>
      <c r="G227" s="45">
        <v>4.42401</v>
      </c>
      <c r="H227" s="45">
        <v>7.7755549999999998</v>
      </c>
      <c r="I227" s="46" t="s">
        <v>21</v>
      </c>
    </row>
    <row r="228" spans="1:9" ht="12.5">
      <c r="A228" s="47">
        <v>2187746</v>
      </c>
      <c r="B228" s="36" t="s">
        <v>225</v>
      </c>
      <c r="C228" s="36" t="s">
        <v>226</v>
      </c>
      <c r="D228" s="36" t="s">
        <v>5257</v>
      </c>
      <c r="E228" s="48" t="str">
        <f ca="1">IFERROR(__xludf.DUMMYFUNCTION("GOOGLETRANSLATE(D228)"),"Course to learn C #: Zero to 2020】 【Expert")</f>
        <v>Course to learn C #: Zero to 2020】 【Expert</v>
      </c>
      <c r="F228" s="36" t="s">
        <v>4912</v>
      </c>
      <c r="G228" s="45">
        <v>4.5901836999999999</v>
      </c>
      <c r="H228" s="45">
        <v>21.38</v>
      </c>
      <c r="I228" s="46" t="s">
        <v>17</v>
      </c>
    </row>
    <row r="229" spans="1:9" ht="12.5">
      <c r="A229" s="47">
        <v>1146812</v>
      </c>
      <c r="B229" s="36" t="s">
        <v>225</v>
      </c>
      <c r="C229" s="36" t="s">
        <v>226</v>
      </c>
      <c r="D229" s="36" t="s">
        <v>5258</v>
      </c>
      <c r="E229" s="48" t="str">
        <f ca="1">IFERROR(__xludf.DUMMYFUNCTION("GOOGLETRANSLATE(D229)"),"SAP ABAP completely in Spanish")</f>
        <v>SAP ABAP completely in Spanish</v>
      </c>
      <c r="F229" s="36" t="s">
        <v>5259</v>
      </c>
      <c r="G229" s="45">
        <v>4.6768527000000004</v>
      </c>
      <c r="H229" s="45">
        <v>15.020277</v>
      </c>
      <c r="I229" s="46" t="s">
        <v>21</v>
      </c>
    </row>
    <row r="230" spans="1:9" ht="12.5">
      <c r="A230" s="47">
        <v>2431900</v>
      </c>
      <c r="B230" s="36" t="s">
        <v>225</v>
      </c>
      <c r="C230" s="36" t="s">
        <v>226</v>
      </c>
      <c r="D230" s="36" t="s">
        <v>5260</v>
      </c>
      <c r="E230" s="48" t="str">
        <f ca="1">IFERROR(__xludf.DUMMYFUNCTION("GOOGLETRANSLATE(D230)"),"Dart: From zero to details")</f>
        <v>Dart: From zero to details</v>
      </c>
      <c r="F230" s="36" t="s">
        <v>5095</v>
      </c>
      <c r="G230" s="45">
        <v>4.7522944999999996</v>
      </c>
      <c r="H230" s="45">
        <v>9.1655549999999995</v>
      </c>
      <c r="I230" s="46" t="s">
        <v>21</v>
      </c>
    </row>
    <row r="231" spans="1:9" ht="12.5">
      <c r="A231" s="41">
        <v>908106</v>
      </c>
      <c r="B231" s="36" t="s">
        <v>225</v>
      </c>
      <c r="C231" s="36" t="s">
        <v>226</v>
      </c>
      <c r="D231" s="43" t="s">
        <v>5261</v>
      </c>
      <c r="E231" s="44" t="str">
        <f ca="1">IFERROR(__xludf.DUMMYFUNCTION("GOOGLETRANSLATE(D231)"),"Learning to program with Java. Zero to do systems")</f>
        <v>Learning to program with Java. Zero to do systems</v>
      </c>
      <c r="F231" s="36" t="s">
        <v>5262</v>
      </c>
      <c r="G231" s="45">
        <v>4.5020613999999997</v>
      </c>
      <c r="H231" s="45">
        <v>29.932777000000002</v>
      </c>
      <c r="I231" s="46" t="s">
        <v>21</v>
      </c>
    </row>
    <row r="232" spans="1:9" ht="12.5">
      <c r="A232" s="41">
        <v>997140</v>
      </c>
      <c r="B232" s="42" t="s">
        <v>225</v>
      </c>
      <c r="C232" s="43" t="s">
        <v>226</v>
      </c>
      <c r="D232" s="36" t="s">
        <v>5263</v>
      </c>
      <c r="E232" s="48" t="str">
        <f ca="1">IFERROR(__xludf.DUMMYFUNCTION("GOOGLETRANSLATE(D232)"),"Full COBOL course: Start program Ya!")</f>
        <v>Full COBOL course: Start program Ya!</v>
      </c>
      <c r="F232" s="36" t="s">
        <v>5264</v>
      </c>
      <c r="G232" s="45">
        <v>4.4407909999999999</v>
      </c>
      <c r="H232" s="45">
        <v>7.5938879999999997</v>
      </c>
      <c r="I232" s="46" t="s">
        <v>21</v>
      </c>
    </row>
    <row r="233" spans="1:9" ht="12.5">
      <c r="A233" s="41">
        <v>2632528</v>
      </c>
      <c r="B233" s="36" t="s">
        <v>225</v>
      </c>
      <c r="C233" s="36" t="s">
        <v>226</v>
      </c>
      <c r="D233" s="43" t="s">
        <v>5265</v>
      </c>
      <c r="E233" s="44" t="str">
        <f ca="1">IFERROR(__xludf.DUMMYFUNCTION("GOOGLETRANSLATE(D233)"),"Django Django rest course and professional basic framework")</f>
        <v>Django Django rest course and professional basic framework</v>
      </c>
      <c r="F233" s="36" t="s">
        <v>5266</v>
      </c>
      <c r="G233" s="45">
        <v>4.5078250000000004</v>
      </c>
      <c r="H233" s="45">
        <v>40.563890000000001</v>
      </c>
      <c r="I233" s="46" t="s">
        <v>72</v>
      </c>
    </row>
    <row r="234" spans="1:9" ht="12.5">
      <c r="A234" s="47">
        <v>1165924</v>
      </c>
      <c r="B234" s="36" t="s">
        <v>225</v>
      </c>
      <c r="C234" s="36" t="s">
        <v>226</v>
      </c>
      <c r="D234" s="36" t="s">
        <v>5267</v>
      </c>
      <c r="E234" s="48" t="str">
        <f ca="1">IFERROR(__xludf.DUMMYFUNCTION("GOOGLETRANSLATE(D234)"),"Begins with R: R for Beginners Course")</f>
        <v>Begins with R: R for Beginners Course</v>
      </c>
      <c r="F234" s="36" t="s">
        <v>5268</v>
      </c>
      <c r="G234" s="45">
        <v>4.3685580000000002</v>
      </c>
      <c r="H234" s="45">
        <v>2.6825000000000001</v>
      </c>
      <c r="I234" s="46" t="s">
        <v>17</v>
      </c>
    </row>
    <row r="235" spans="1:9" ht="12.5">
      <c r="A235" s="47">
        <v>1168544</v>
      </c>
      <c r="B235" s="36" t="s">
        <v>225</v>
      </c>
      <c r="C235" s="36" t="s">
        <v>226</v>
      </c>
      <c r="D235" s="36" t="s">
        <v>5269</v>
      </c>
      <c r="E235" s="48" t="str">
        <f ca="1">IFERROR(__xludf.DUMMYFUNCTION("GOOGLETRANSLATE(D235)"),"C # Complete Course to be a programmer")</f>
        <v>C # Complete Course to be a programmer</v>
      </c>
      <c r="F235" s="36" t="s">
        <v>5270</v>
      </c>
      <c r="G235" s="45">
        <v>4.4799438</v>
      </c>
      <c r="H235" s="45">
        <v>22.647500000000001</v>
      </c>
      <c r="I235" s="46" t="s">
        <v>21</v>
      </c>
    </row>
    <row r="236" spans="1:9" ht="12.5">
      <c r="A236" s="41">
        <v>1795818</v>
      </c>
      <c r="B236" s="42" t="s">
        <v>225</v>
      </c>
      <c r="C236" s="43" t="s">
        <v>226</v>
      </c>
      <c r="D236" s="43" t="s">
        <v>5271</v>
      </c>
      <c r="E236" s="44" t="str">
        <f ca="1">IFERROR(__xludf.DUMMYFUNCTION("GOOGLETRANSLATE(D236)"),"Learn Java with 100 practical exercises (includes JavaFX)")</f>
        <v>Learn Java with 100 practical exercises (includes JavaFX)</v>
      </c>
      <c r="F236" s="36" t="s">
        <v>5272</v>
      </c>
      <c r="G236" s="45">
        <v>4.0101732999999999</v>
      </c>
      <c r="H236" s="45">
        <v>20.415554</v>
      </c>
      <c r="I236" s="46" t="s">
        <v>21</v>
      </c>
    </row>
    <row r="237" spans="1:9" ht="12.5">
      <c r="A237" s="47">
        <v>1865994</v>
      </c>
      <c r="B237" s="36" t="s">
        <v>225</v>
      </c>
      <c r="C237" s="36" t="s">
        <v>226</v>
      </c>
      <c r="D237" s="36" t="s">
        <v>5273</v>
      </c>
      <c r="E237" s="48" t="str">
        <f ca="1">IFERROR(__xludf.DUMMYFUNCTION("GOOGLETRANSLATE(D237)"),"1 Chatbot Messenger develop and learn Python on the road")</f>
        <v>1 Chatbot Messenger develop and learn Python on the road</v>
      </c>
      <c r="F237" s="36" t="s">
        <v>5220</v>
      </c>
      <c r="G237" s="45">
        <v>4.4483050000000004</v>
      </c>
      <c r="H237" s="45">
        <v>6.8</v>
      </c>
      <c r="I237" s="46" t="s">
        <v>17</v>
      </c>
    </row>
    <row r="238" spans="1:9" ht="12.5">
      <c r="A238" s="41">
        <v>728634</v>
      </c>
      <c r="B238" s="36" t="s">
        <v>225</v>
      </c>
      <c r="C238" s="36" t="s">
        <v>226</v>
      </c>
      <c r="D238" s="43" t="s">
        <v>5274</v>
      </c>
      <c r="E238" s="44" t="str">
        <f ca="1">IFERROR(__xludf.DUMMYFUNCTION("GOOGLETRANSLATE(D238)"),"Learn C programming from scratch")</f>
        <v>Learn C programming from scratch</v>
      </c>
      <c r="F238" s="36" t="s">
        <v>5243</v>
      </c>
      <c r="G238" s="45">
        <v>4.6559935000000001</v>
      </c>
      <c r="H238" s="45">
        <v>12.480555000000001</v>
      </c>
      <c r="I238" s="46" t="s">
        <v>21</v>
      </c>
    </row>
    <row r="239" spans="1:9" ht="12.5">
      <c r="A239" s="47">
        <v>1317256</v>
      </c>
      <c r="B239" s="36" t="s">
        <v>225</v>
      </c>
      <c r="C239" s="36" t="s">
        <v>226</v>
      </c>
      <c r="D239" s="36" t="s">
        <v>5275</v>
      </c>
      <c r="E239" s="48" t="str">
        <f ca="1">IFERROR(__xludf.DUMMYFUNCTION("GOOGLETRANSLATE(D239)"),"Programming Java SE from 0")</f>
        <v>Programming Java SE from 0</v>
      </c>
      <c r="F239" s="36" t="s">
        <v>5276</v>
      </c>
      <c r="G239" s="45">
        <v>4.7176312999999999</v>
      </c>
      <c r="H239" s="45">
        <v>54.772500000000001</v>
      </c>
      <c r="I239" s="46" t="s">
        <v>21</v>
      </c>
    </row>
    <row r="240" spans="1:9" ht="12.5">
      <c r="A240" s="41">
        <v>2460956</v>
      </c>
      <c r="B240" s="36" t="s">
        <v>225</v>
      </c>
      <c r="C240" s="36" t="s">
        <v>226</v>
      </c>
      <c r="D240" s="36" t="s">
        <v>5277</v>
      </c>
      <c r="E240" s="48" t="str">
        <f ca="1">IFERROR(__xludf.DUMMYFUNCTION("GOOGLETRANSLATE(D240)"),"Systems developed in C # .Net - 4 layers with SQL Server")</f>
        <v>Systems developed in C # .Net - 4 layers with SQL Server</v>
      </c>
      <c r="F240" s="36" t="s">
        <v>5278</v>
      </c>
      <c r="G240" s="45">
        <v>4.3674993999999998</v>
      </c>
      <c r="H240" s="45">
        <v>12.538888</v>
      </c>
      <c r="I240" s="46" t="s">
        <v>21</v>
      </c>
    </row>
    <row r="241" spans="1:9" ht="12.5">
      <c r="A241" s="47">
        <v>1550424</v>
      </c>
      <c r="B241" s="36" t="s">
        <v>225</v>
      </c>
      <c r="C241" s="36" t="s">
        <v>226</v>
      </c>
      <c r="D241" s="36" t="s">
        <v>5279</v>
      </c>
      <c r="E241" s="48" t="str">
        <f ca="1">IFERROR(__xludf.DUMMYFUNCTION("GOOGLETRANSLATE(D241)"),"Complete Course of Programming C Sharp (C #)")</f>
        <v>Complete Course of Programming C Sharp (C #)</v>
      </c>
      <c r="F241" s="36" t="s">
        <v>5280</v>
      </c>
      <c r="G241" s="45">
        <v>4.5197124000000004</v>
      </c>
      <c r="H241" s="45">
        <v>14.203611</v>
      </c>
      <c r="I241" s="36" t="s">
        <v>17</v>
      </c>
    </row>
    <row r="242" spans="1:9" ht="12.5">
      <c r="A242" s="47">
        <v>1182814</v>
      </c>
      <c r="B242" s="36" t="s">
        <v>225</v>
      </c>
      <c r="C242" s="36" t="s">
        <v>226</v>
      </c>
      <c r="D242" s="36" t="s">
        <v>5281</v>
      </c>
      <c r="E242" s="48" t="str">
        <f ca="1">IFERROR(__xludf.DUMMYFUNCTION("GOOGLETRANSLATE(D242)"),"SAP ABAP programming Initiation")</f>
        <v>SAP ABAP programming Initiation</v>
      </c>
      <c r="F242" s="36" t="s">
        <v>5282</v>
      </c>
      <c r="G242" s="45">
        <v>4.5173019999999999</v>
      </c>
      <c r="H242" s="45">
        <v>4.7944440000000004</v>
      </c>
      <c r="I242" s="36" t="s">
        <v>17</v>
      </c>
    </row>
    <row r="243" spans="1:9" ht="12.5">
      <c r="A243" s="47">
        <v>1478318</v>
      </c>
      <c r="B243" s="36" t="s">
        <v>225</v>
      </c>
      <c r="C243" s="36" t="s">
        <v>226</v>
      </c>
      <c r="D243" s="36" t="s">
        <v>5283</v>
      </c>
      <c r="E243" s="48" t="str">
        <f ca="1">IFERROR(__xludf.DUMMYFUNCTION("GOOGLETRANSLATE(D243)"),"Club Master Java: Java from novice to pro. +80 hrs (JDK 13)")</f>
        <v>Club Master Java: Java from novice to pro. +80 hrs (JDK 13)</v>
      </c>
      <c r="F243" s="36" t="s">
        <v>5284</v>
      </c>
      <c r="G243" s="45">
        <v>4.3508725000000004</v>
      </c>
      <c r="H243" s="45">
        <v>80.662223999999995</v>
      </c>
      <c r="I243" s="36" t="s">
        <v>21</v>
      </c>
    </row>
    <row r="244" spans="1:9" ht="12.5">
      <c r="A244" s="47">
        <v>3329900</v>
      </c>
      <c r="B244" s="36" t="s">
        <v>225</v>
      </c>
      <c r="C244" s="36" t="s">
        <v>226</v>
      </c>
      <c r="D244" s="36" t="s">
        <v>5285</v>
      </c>
      <c r="E244" s="48" t="str">
        <f ca="1">IFERROR(__xludf.DUMMYFUNCTION("GOOGLETRANSLATE(D244)"),"Master in collections and data structures in Java")</f>
        <v>Master in collections and data structures in Java</v>
      </c>
      <c r="F244" s="36" t="s">
        <v>5262</v>
      </c>
      <c r="G244" s="45">
        <v>4.7610939999999999</v>
      </c>
      <c r="H244" s="45">
        <v>8.1449999999999996</v>
      </c>
      <c r="I244" s="36" t="s">
        <v>72</v>
      </c>
    </row>
    <row r="245" spans="1:9" ht="12.5">
      <c r="A245" s="41">
        <v>755462</v>
      </c>
      <c r="B245" s="36" t="s">
        <v>225</v>
      </c>
      <c r="C245" s="36" t="s">
        <v>226</v>
      </c>
      <c r="D245" s="43" t="s">
        <v>5286</v>
      </c>
      <c r="E245" s="44" t="str">
        <f ca="1">IFERROR(__xludf.DUMMYFUNCTION("GOOGLETRANSLATE(D245)"),"Learn PHP from scratch with 36 practical exercises")</f>
        <v>Learn PHP from scratch with 36 practical exercises</v>
      </c>
      <c r="F245" s="36" t="s">
        <v>5131</v>
      </c>
      <c r="G245" s="45">
        <v>4.2713447000000002</v>
      </c>
      <c r="H245" s="45">
        <v>6.7311110000000003</v>
      </c>
      <c r="I245" s="36" t="s">
        <v>21</v>
      </c>
    </row>
    <row r="246" spans="1:9" ht="12.5">
      <c r="A246" s="47">
        <v>1696802</v>
      </c>
      <c r="B246" s="36" t="s">
        <v>225</v>
      </c>
      <c r="C246" s="36" t="s">
        <v>226</v>
      </c>
      <c r="D246" s="36" t="s">
        <v>5287</v>
      </c>
      <c r="E246" s="48" t="str">
        <f ca="1">IFERROR(__xludf.DUMMYFUNCTION("GOOGLETRANSLATE(D246)"),"Programming Fundamentals, Algorithms on 5 languages.")</f>
        <v>Programming Fundamentals, Algorithms on 5 languages.</v>
      </c>
      <c r="F246" s="36" t="s">
        <v>5288</v>
      </c>
      <c r="G246" s="45">
        <v>3.8852796999999999</v>
      </c>
      <c r="H246" s="45">
        <v>5.0197219999999998</v>
      </c>
      <c r="I246" s="36" t="s">
        <v>72</v>
      </c>
    </row>
    <row r="247" spans="1:9" ht="12.5">
      <c r="A247" s="41">
        <v>1895692</v>
      </c>
      <c r="B247" s="36" t="s">
        <v>225</v>
      </c>
      <c r="C247" s="36" t="s">
        <v>226</v>
      </c>
      <c r="D247" s="43" t="s">
        <v>5289</v>
      </c>
      <c r="E247" s="44" t="str">
        <f ca="1">IFERROR(__xludf.DUMMYFUNCTION("GOOGLETRANSLATE(D247)"),"C # OOP")</f>
        <v>C # OOP</v>
      </c>
      <c r="F247" s="36" t="s">
        <v>5270</v>
      </c>
      <c r="G247" s="45">
        <v>4.4054073999999996</v>
      </c>
      <c r="H247" s="45">
        <v>5.4147220000000003</v>
      </c>
      <c r="I247" s="36" t="s">
        <v>72</v>
      </c>
    </row>
    <row r="248" spans="1:9" ht="12.5">
      <c r="A248" s="47">
        <v>84676</v>
      </c>
      <c r="B248" s="36" t="s">
        <v>225</v>
      </c>
      <c r="C248" s="36" t="s">
        <v>226</v>
      </c>
      <c r="D248" s="36" t="s">
        <v>5290</v>
      </c>
      <c r="E248" s="48" t="str">
        <f ca="1">IFERROR(__xludf.DUMMYFUNCTION("GOOGLETRANSLATE(D248)"),"Learn Java Enterprise Edition (JavaEE) step")</f>
        <v>Learn Java Enterprise Edition (JavaEE) step</v>
      </c>
      <c r="F248" s="36" t="s">
        <v>5241</v>
      </c>
      <c r="G248" s="45">
        <v>3.4533507999999999</v>
      </c>
      <c r="H248" s="45">
        <v>13.866666</v>
      </c>
      <c r="I248" s="36" t="s">
        <v>72</v>
      </c>
    </row>
    <row r="249" spans="1:9" ht="12.5">
      <c r="A249" s="41">
        <v>2351224</v>
      </c>
      <c r="B249" s="36" t="s">
        <v>225</v>
      </c>
      <c r="C249" s="36" t="s">
        <v>226</v>
      </c>
      <c r="D249" s="43" t="s">
        <v>5291</v>
      </c>
      <c r="E249" s="44" t="str">
        <f ca="1">IFERROR(__xludf.DUMMYFUNCTION("GOOGLETRANSLATE(D249)"),"5 Ways to connect to a C # SQL database server")</f>
        <v>5 Ways to connect to a C # SQL database server</v>
      </c>
      <c r="F249" s="36" t="s">
        <v>4912</v>
      </c>
      <c r="G249" s="45">
        <v>4.291582</v>
      </c>
      <c r="H249" s="45">
        <v>7.7119439999999999</v>
      </c>
      <c r="I249" s="36" t="s">
        <v>17</v>
      </c>
    </row>
    <row r="250" spans="1:9" ht="12.5">
      <c r="A250" s="41">
        <v>475192</v>
      </c>
      <c r="B250" s="36" t="s">
        <v>225</v>
      </c>
      <c r="C250" s="36" t="s">
        <v>226</v>
      </c>
      <c r="D250" s="43" t="s">
        <v>5292</v>
      </c>
      <c r="E250" s="44" t="str">
        <f ca="1">IFERROR(__xludf.DUMMYFUNCTION("GOOGLETRANSLATE(D250)"),"Starting in R")</f>
        <v>Starting in R</v>
      </c>
      <c r="F250" s="36" t="s">
        <v>5293</v>
      </c>
      <c r="G250" s="45">
        <v>4.5257189999999996</v>
      </c>
      <c r="H250" s="45">
        <v>2.8591660000000001</v>
      </c>
      <c r="I250" s="36" t="s">
        <v>21</v>
      </c>
    </row>
    <row r="251" spans="1:9" ht="12.5">
      <c r="A251" s="47">
        <v>225170</v>
      </c>
      <c r="B251" s="36" t="s">
        <v>225</v>
      </c>
      <c r="C251" s="36" t="s">
        <v>226</v>
      </c>
      <c r="D251" s="36" t="s">
        <v>5294</v>
      </c>
      <c r="E251" s="48" t="str">
        <f ca="1">IFERROR(__xludf.DUMMYFUNCTION("GOOGLETRANSLATE(D251)"),"Introduction to OOP with PHP")</f>
        <v>Introduction to OOP with PHP</v>
      </c>
      <c r="F251" s="36" t="s">
        <v>5295</v>
      </c>
      <c r="G251" s="45">
        <v>3.5940563999999999</v>
      </c>
      <c r="H251" s="45">
        <v>16.464721999999998</v>
      </c>
      <c r="I251" s="36" t="s">
        <v>21</v>
      </c>
    </row>
    <row r="252" spans="1:9" ht="12.5">
      <c r="A252" s="47">
        <v>3507366</v>
      </c>
      <c r="B252" s="36" t="s">
        <v>225</v>
      </c>
      <c r="C252" s="36" t="s">
        <v>226</v>
      </c>
      <c r="D252" s="36" t="s">
        <v>5296</v>
      </c>
      <c r="E252" s="48" t="str">
        <f ca="1">IFERROR(__xludf.DUMMYFUNCTION("GOOGLETRANSLATE(D252)"),"Blueprints program on Unreal Engine from 0 to professional")</f>
        <v>Blueprints program on Unreal Engine from 0 to professional</v>
      </c>
      <c r="F252" s="36" t="s">
        <v>5297</v>
      </c>
      <c r="G252" s="45">
        <v>4.8361890000000001</v>
      </c>
      <c r="H252" s="45">
        <v>39.450274999999998</v>
      </c>
      <c r="I252" s="36" t="s">
        <v>17</v>
      </c>
    </row>
    <row r="253" spans="1:9" ht="12.5">
      <c r="A253" s="41">
        <v>560436</v>
      </c>
      <c r="B253" s="36" t="s">
        <v>225</v>
      </c>
      <c r="C253" s="36" t="s">
        <v>226</v>
      </c>
      <c r="D253" s="43" t="s">
        <v>5298</v>
      </c>
      <c r="E253" s="44" t="str">
        <f ca="1">IFERROR(__xludf.DUMMYFUNCTION("GOOGLETRANSLATE(D253)"),"Learn Objective-C: Zero to Expert")</f>
        <v>Learn Objective-C: Zero to Expert</v>
      </c>
      <c r="F253" s="36" t="s">
        <v>4943</v>
      </c>
      <c r="G253" s="45">
        <v>4.6635494</v>
      </c>
      <c r="H253" s="45">
        <v>28.156110000000002</v>
      </c>
      <c r="I253" s="36" t="s">
        <v>21</v>
      </c>
    </row>
    <row r="254" spans="1:9" ht="12.5">
      <c r="A254" s="47">
        <v>3078492</v>
      </c>
      <c r="B254" s="36" t="s">
        <v>225</v>
      </c>
      <c r="C254" s="36" t="s">
        <v>226</v>
      </c>
      <c r="D254" s="36" t="s">
        <v>5299</v>
      </c>
      <c r="E254" s="48" t="str">
        <f ca="1">IFERROR(__xludf.DUMMYFUNCTION("GOOGLETRANSLATE(D254)"),"Master Complete Java zero expert with IntelliJ 2020")</f>
        <v>Master Complete Java zero expert with IntelliJ 2020</v>
      </c>
      <c r="F254" s="36" t="s">
        <v>4918</v>
      </c>
      <c r="G254" s="45">
        <v>4.8106710000000001</v>
      </c>
      <c r="H254" s="45">
        <v>71.772223999999994</v>
      </c>
      <c r="I254" s="36" t="s">
        <v>21</v>
      </c>
    </row>
    <row r="255" spans="1:9" ht="12.5">
      <c r="A255" s="47">
        <v>3010446</v>
      </c>
      <c r="B255" s="36" t="s">
        <v>225</v>
      </c>
      <c r="C255" s="36" t="s">
        <v>226</v>
      </c>
      <c r="D255" s="36" t="s">
        <v>5300</v>
      </c>
      <c r="E255" s="48" t="str">
        <f ca="1">IFERROR(__xludf.DUMMYFUNCTION("GOOGLETRANSLATE(D255)"),"React Native: Native Learn React with practical exercises")</f>
        <v>React Native: Native Learn React with practical exercises</v>
      </c>
      <c r="F255" s="36" t="s">
        <v>4943</v>
      </c>
      <c r="G255" s="45">
        <v>4.5776770000000004</v>
      </c>
      <c r="H255" s="45">
        <v>6.2280550000000003</v>
      </c>
      <c r="I255" s="36" t="s">
        <v>17</v>
      </c>
    </row>
    <row r="256" spans="1:9" ht="12.5">
      <c r="A256" s="47">
        <v>89186</v>
      </c>
      <c r="B256" s="36" t="s">
        <v>225</v>
      </c>
      <c r="C256" s="36" t="s">
        <v>226</v>
      </c>
      <c r="D256" s="36" t="s">
        <v>5301</v>
      </c>
      <c r="E256" s="48" t="str">
        <f ca="1">IFERROR(__xludf.DUMMYFUNCTION("GOOGLETRANSLATE(D256)"),"Spring Framework learns the simplest way Spanish")</f>
        <v>Spring Framework learns the simplest way Spanish</v>
      </c>
      <c r="F256" s="36" t="s">
        <v>5241</v>
      </c>
      <c r="G256" s="45">
        <v>4.4527539999999997</v>
      </c>
      <c r="H256" s="45">
        <v>8.0330549999999992</v>
      </c>
      <c r="I256" s="36" t="s">
        <v>72</v>
      </c>
    </row>
    <row r="257" spans="1:9" ht="12.5">
      <c r="A257" s="41">
        <v>714228</v>
      </c>
      <c r="B257" s="36" t="s">
        <v>225</v>
      </c>
      <c r="C257" s="36" t="s">
        <v>226</v>
      </c>
      <c r="D257" s="43" t="s">
        <v>5302</v>
      </c>
      <c r="E257" s="44" t="str">
        <f ca="1">IFERROR(__xludf.DUMMYFUNCTION("GOOGLETRANSLATE(D257)"),"PROFESSIONAL COURSE OF JAVA OBJECT ORIENTED")</f>
        <v>PROFESSIONAL COURSE OF JAVA OBJECT ORIENTED</v>
      </c>
      <c r="F257" s="36" t="s">
        <v>5303</v>
      </c>
      <c r="G257" s="45">
        <v>4.5992030000000002</v>
      </c>
      <c r="H257" s="45">
        <v>21.138887</v>
      </c>
      <c r="I257" s="36" t="s">
        <v>72</v>
      </c>
    </row>
    <row r="258" spans="1:9" ht="12.5">
      <c r="A258" s="41">
        <v>902626</v>
      </c>
      <c r="B258" s="36" t="s">
        <v>225</v>
      </c>
      <c r="C258" s="36" t="s">
        <v>226</v>
      </c>
      <c r="D258" s="43" t="s">
        <v>5304</v>
      </c>
      <c r="E258" s="44" t="str">
        <f ca="1">IFERROR(__xludf.DUMMYFUNCTION("GOOGLETRANSLATE(D258)"),"Learn to program and create your programs from scratch")</f>
        <v>Learn to program and create your programs from scratch</v>
      </c>
      <c r="F258" s="36" t="s">
        <v>5305</v>
      </c>
      <c r="G258" s="45">
        <v>4.6686586999999999</v>
      </c>
      <c r="H258" s="45">
        <v>8.7786109999999997</v>
      </c>
      <c r="I258" s="36" t="s">
        <v>17</v>
      </c>
    </row>
    <row r="259" spans="1:9" ht="12.5">
      <c r="A259" s="47">
        <v>2314132</v>
      </c>
      <c r="B259" s="36" t="s">
        <v>225</v>
      </c>
      <c r="C259" s="36" t="s">
        <v>226</v>
      </c>
      <c r="D259" s="36" t="s">
        <v>5306</v>
      </c>
      <c r="E259" s="48" t="str">
        <f ca="1">IFERROR(__xludf.DUMMYFUNCTION("GOOGLETRANSLATE(D259)"),"Deep Learning - Neural Networks with Python")</f>
        <v>Deep Learning - Neural Networks with Python</v>
      </c>
      <c r="F259" s="36" t="s">
        <v>5307</v>
      </c>
      <c r="G259" s="45">
        <v>4.1438946999999997</v>
      </c>
      <c r="H259" s="45">
        <v>8.6394439999999992</v>
      </c>
      <c r="I259" s="36" t="s">
        <v>17</v>
      </c>
    </row>
    <row r="260" spans="1:9" ht="12.5">
      <c r="A260" s="47">
        <v>2617968</v>
      </c>
      <c r="B260" s="36" t="s">
        <v>225</v>
      </c>
      <c r="C260" s="36" t="s">
        <v>226</v>
      </c>
      <c r="D260" s="36" t="s">
        <v>5308</v>
      </c>
      <c r="E260" s="48" t="str">
        <f ca="1">IFERROR(__xludf.DUMMYFUNCTION("GOOGLETRANSLATE(D260)"),"Master Complete C #")</f>
        <v>Master Complete C #</v>
      </c>
      <c r="F260" s="36" t="s">
        <v>1274</v>
      </c>
      <c r="G260" s="45">
        <v>4.5668610000000003</v>
      </c>
      <c r="H260" s="45">
        <v>31.820833</v>
      </c>
      <c r="I260" s="36" t="s">
        <v>21</v>
      </c>
    </row>
    <row r="261" spans="1:9" ht="12.5">
      <c r="A261" s="47">
        <v>1187500</v>
      </c>
      <c r="B261" s="36" t="s">
        <v>225</v>
      </c>
      <c r="C261" s="36" t="s">
        <v>226</v>
      </c>
      <c r="D261" s="36" t="s">
        <v>5309</v>
      </c>
      <c r="E261" s="48" t="str">
        <f ca="1">IFERROR(__xludf.DUMMYFUNCTION("GOOGLETRANSLATE(D261)"),"Java EE 7 &amp; Frameworks - JSF2, Spring 4, Struts 2 y EJB3")</f>
        <v>Java EE 7 &amp; Frameworks - JSF2, Spring 4, Struts 2 y EJB3</v>
      </c>
      <c r="F261" s="36" t="s">
        <v>4918</v>
      </c>
      <c r="G261" s="45">
        <v>4.5015225000000001</v>
      </c>
      <c r="H261" s="45">
        <v>7.4844439999999999</v>
      </c>
      <c r="I261" s="36" t="s">
        <v>21</v>
      </c>
    </row>
    <row r="262" spans="1:9" ht="12.5">
      <c r="A262" s="41">
        <v>1515696</v>
      </c>
      <c r="B262" s="36" t="s">
        <v>225</v>
      </c>
      <c r="C262" s="36" t="s">
        <v>226</v>
      </c>
      <c r="D262" s="43" t="s">
        <v>5310</v>
      </c>
      <c r="E262" s="44" t="str">
        <f ca="1">IFERROR(__xludf.DUMMYFUNCTION("GOOGLETRANSLATE(D262)"),"First your program with JavaScript HTML5 Games")</f>
        <v>First your program with JavaScript HTML5 Games</v>
      </c>
      <c r="F262" s="36" t="s">
        <v>5311</v>
      </c>
      <c r="G262" s="45">
        <v>4.5682482999999996</v>
      </c>
      <c r="H262" s="45">
        <v>8.5055549999999993</v>
      </c>
      <c r="I262" s="36" t="s">
        <v>17</v>
      </c>
    </row>
    <row r="263" spans="1:9" ht="12.5">
      <c r="A263" s="41">
        <v>2566624</v>
      </c>
      <c r="B263" s="36" t="s">
        <v>225</v>
      </c>
      <c r="C263" s="36" t="s">
        <v>226</v>
      </c>
      <c r="D263" s="43" t="s">
        <v>5312</v>
      </c>
      <c r="E263" s="44" t="str">
        <f ca="1">IFERROR(__xludf.DUMMYFUNCTION("GOOGLETRANSLATE(D263)"),"OOP with C #: A Case Study")</f>
        <v>OOP with C #: A Case Study</v>
      </c>
      <c r="F263" s="36" t="s">
        <v>4912</v>
      </c>
      <c r="G263" s="45">
        <v>4.3977684999999997</v>
      </c>
      <c r="H263" s="45">
        <v>5.9252770000000003</v>
      </c>
      <c r="I263" s="36" t="s">
        <v>17</v>
      </c>
    </row>
    <row r="264" spans="1:9" ht="12.5">
      <c r="A264" s="47">
        <v>2621516</v>
      </c>
      <c r="B264" s="36" t="s">
        <v>225</v>
      </c>
      <c r="C264" s="36" t="s">
        <v>226</v>
      </c>
      <c r="D264" s="36" t="s">
        <v>5313</v>
      </c>
      <c r="E264" s="48" t="str">
        <f ca="1">IFERROR(__xludf.DUMMYFUNCTION("GOOGLETRANSLATE(D264)"),"Natural Language Processing with Python (NLP)")</f>
        <v>Natural Language Processing with Python (NLP)</v>
      </c>
      <c r="F264" s="36" t="s">
        <v>4951</v>
      </c>
      <c r="G264" s="45">
        <v>4.4097059999999999</v>
      </c>
      <c r="H264" s="45">
        <v>2.5255550000000002</v>
      </c>
      <c r="I264" s="36" t="s">
        <v>21</v>
      </c>
    </row>
    <row r="265" spans="1:9" ht="12.5">
      <c r="A265" s="47">
        <v>2773566</v>
      </c>
      <c r="B265" s="36" t="s">
        <v>225</v>
      </c>
      <c r="C265" s="36" t="s">
        <v>226</v>
      </c>
      <c r="D265" s="36" t="s">
        <v>5314</v>
      </c>
      <c r="E265" s="48" t="str">
        <f ca="1">IFERROR(__xludf.DUMMYFUNCTION("GOOGLETRANSLATE(D265)"),"Develops systems in Java, MySQL, DAO, OOP, Swing, 3 layers")</f>
        <v>Develops systems in Java, MySQL, DAO, OOP, Swing, 3 layers</v>
      </c>
      <c r="F265" s="36" t="s">
        <v>5278</v>
      </c>
      <c r="G265" s="45">
        <v>4.8106536999999996</v>
      </c>
      <c r="H265" s="45">
        <v>12.514722000000001</v>
      </c>
      <c r="I265" s="36" t="s">
        <v>21</v>
      </c>
    </row>
    <row r="266" spans="1:9" ht="12.5">
      <c r="A266" s="41">
        <v>2851058</v>
      </c>
      <c r="B266" s="36" t="s">
        <v>225</v>
      </c>
      <c r="C266" s="36" t="s">
        <v>226</v>
      </c>
      <c r="D266" s="43" t="s">
        <v>5315</v>
      </c>
      <c r="E266" s="44" t="str">
        <f ca="1">IFERROR(__xludf.DUMMYFUNCTION("GOOGLETRANSLATE(D266)"),"OOP in C #: OOP concepts applied in C # on real projects")</f>
        <v>OOP in C #: OOP concepts applied in C # on real projects</v>
      </c>
      <c r="F266" s="36" t="s">
        <v>4943</v>
      </c>
      <c r="G266" s="45">
        <v>4.6742280000000003</v>
      </c>
      <c r="H266" s="45">
        <v>13.063055</v>
      </c>
      <c r="I266" s="36" t="s">
        <v>21</v>
      </c>
    </row>
    <row r="267" spans="1:9" ht="12.5">
      <c r="A267" s="41">
        <v>2889360</v>
      </c>
      <c r="B267" s="36" t="s">
        <v>225</v>
      </c>
      <c r="C267" s="36" t="s">
        <v>226</v>
      </c>
      <c r="D267" s="43" t="s">
        <v>5316</v>
      </c>
      <c r="E267" s="44" t="str">
        <f ca="1">IFERROR(__xludf.DUMMYFUNCTION("GOOGLETRANSLATE(D267)"),"Learn to program in C # 6 hours: C # for beginners")</f>
        <v>Learn to program in C # 6 hours: C # for beginners</v>
      </c>
      <c r="F267" s="36" t="s">
        <v>4943</v>
      </c>
      <c r="G267" s="45">
        <v>4.8776929999999998</v>
      </c>
      <c r="H267" s="45">
        <v>5.440277</v>
      </c>
      <c r="I267" s="36" t="s">
        <v>21</v>
      </c>
    </row>
    <row r="268" spans="1:9" ht="12.5">
      <c r="A268" s="47">
        <v>1174400</v>
      </c>
      <c r="B268" s="36" t="s">
        <v>225</v>
      </c>
      <c r="C268" s="36" t="s">
        <v>1338</v>
      </c>
      <c r="D268" s="36" t="s">
        <v>5317</v>
      </c>
      <c r="E268" s="48" t="str">
        <f ca="1">IFERROR(__xludf.DUMMYFUNCTION("GOOGLETRANSLATE(D268)"),"Software design patterns and principles SOLID.")</f>
        <v>Software design patterns and principles SOLID.</v>
      </c>
      <c r="F268" s="36" t="s">
        <v>5246</v>
      </c>
      <c r="G268" s="45">
        <v>4.3775934999999997</v>
      </c>
      <c r="H268" s="45">
        <v>4.163888</v>
      </c>
      <c r="I268" s="36" t="s">
        <v>21</v>
      </c>
    </row>
    <row r="269" spans="1:9" ht="12.5">
      <c r="A269" s="41">
        <v>115204</v>
      </c>
      <c r="B269" s="36" t="s">
        <v>225</v>
      </c>
      <c r="C269" s="36" t="s">
        <v>1338</v>
      </c>
      <c r="D269" s="43" t="s">
        <v>5318</v>
      </c>
      <c r="E269" s="44" t="str">
        <f ca="1">IFERROR(__xludf.DUMMYFUNCTION("GOOGLETRANSLATE(D269)"),"Scrum: a framework for agile development project")</f>
        <v>Scrum: a framework for agile development project</v>
      </c>
      <c r="F269" s="36" t="s">
        <v>5319</v>
      </c>
      <c r="G269" s="45">
        <v>4.1914205999999998</v>
      </c>
      <c r="H269" s="45">
        <v>1.6325000000000001</v>
      </c>
      <c r="I269" s="36" t="s">
        <v>17</v>
      </c>
    </row>
    <row r="270" spans="1:9" ht="12.5">
      <c r="A270" s="47">
        <v>1865140</v>
      </c>
      <c r="B270" s="36" t="s">
        <v>225</v>
      </c>
      <c r="C270" s="36" t="s">
        <v>1338</v>
      </c>
      <c r="D270" s="36" t="s">
        <v>5320</v>
      </c>
      <c r="E270" s="48" t="str">
        <f ca="1">IFERROR(__xludf.DUMMYFUNCTION("GOOGLETRANSLATE(D270)"),"Application Architecture - MVP, Dagger, RxJava, Retrofit")</f>
        <v>Application Architecture - MVP, Dagger, RxJava, Retrofit</v>
      </c>
      <c r="F270" s="36" t="s">
        <v>4943</v>
      </c>
      <c r="G270" s="45">
        <v>4.8308390000000001</v>
      </c>
      <c r="H270" s="45">
        <v>12.807499999999999</v>
      </c>
      <c r="I270" s="36" t="s">
        <v>259</v>
      </c>
    </row>
    <row r="271" spans="1:9" ht="12.5">
      <c r="A271" s="47">
        <v>1304252</v>
      </c>
      <c r="B271" s="36" t="s">
        <v>225</v>
      </c>
      <c r="C271" s="36" t="s">
        <v>1338</v>
      </c>
      <c r="D271" s="36" t="s">
        <v>5321</v>
      </c>
      <c r="E271" s="48" t="str">
        <f ca="1">IFERROR(__xludf.DUMMYFUNCTION("GOOGLETRANSLATE(D271)"),"Algorithms and data structures")</f>
        <v>Algorithms and data structures</v>
      </c>
      <c r="F271" s="36" t="s">
        <v>5322</v>
      </c>
      <c r="G271" s="45">
        <v>4.4202719999999998</v>
      </c>
      <c r="H271" s="45">
        <v>4.884722</v>
      </c>
      <c r="I271" s="36" t="s">
        <v>72</v>
      </c>
    </row>
    <row r="272" spans="1:9" ht="12.5">
      <c r="A272" s="47">
        <v>1996964</v>
      </c>
      <c r="B272" s="36" t="s">
        <v>225</v>
      </c>
      <c r="C272" s="36" t="s">
        <v>1338</v>
      </c>
      <c r="D272" s="36" t="s">
        <v>5323</v>
      </c>
      <c r="E272" s="48" t="str">
        <f ca="1">IFERROR(__xludf.DUMMYFUNCTION("GOOGLETRANSLATE(D272)"),"Modern system with Visual Basic net sales and SQLserver")</f>
        <v>Modern system with Visual Basic net sales and SQLserver</v>
      </c>
      <c r="F272" s="36" t="s">
        <v>5110</v>
      </c>
      <c r="G272" s="45">
        <v>4.0913595999999997</v>
      </c>
      <c r="H272" s="45">
        <v>22.862777999999999</v>
      </c>
      <c r="I272" s="36" t="s">
        <v>21</v>
      </c>
    </row>
    <row r="273" spans="1:9" ht="12.5">
      <c r="A273" s="47">
        <v>448168</v>
      </c>
      <c r="B273" s="36" t="s">
        <v>225</v>
      </c>
      <c r="C273" s="36" t="s">
        <v>398</v>
      </c>
      <c r="D273" s="36" t="s">
        <v>5324</v>
      </c>
      <c r="E273" s="48" t="str">
        <f ca="1">IFERROR(__xludf.DUMMYFUNCTION("GOOGLETRANSLATE(D273)"),"Introduction to Software Testing: Beginners!")</f>
        <v>Introduction to Software Testing: Beginners!</v>
      </c>
      <c r="F273" s="36" t="s">
        <v>5325</v>
      </c>
      <c r="G273" s="45">
        <v>4.260643</v>
      </c>
      <c r="H273" s="45">
        <v>2.9263880000000002</v>
      </c>
      <c r="I273" s="36" t="s">
        <v>17</v>
      </c>
    </row>
    <row r="274" spans="1:9" ht="12.5">
      <c r="A274" s="47">
        <v>2163808</v>
      </c>
      <c r="B274" s="36" t="s">
        <v>225</v>
      </c>
      <c r="C274" s="36" t="s">
        <v>398</v>
      </c>
      <c r="D274" s="36" t="s">
        <v>5326</v>
      </c>
      <c r="E274" s="48" t="str">
        <f ca="1">IFERROR(__xludf.DUMMYFUNCTION("GOOGLETRANSLATE(D274)"),"Testing software application. Postman. Testing API")</f>
        <v>Testing software application. Postman. Testing API</v>
      </c>
      <c r="F274" s="36" t="s">
        <v>5327</v>
      </c>
      <c r="G274" s="45">
        <v>4.5996740000000003</v>
      </c>
      <c r="H274" s="45">
        <v>7.6875</v>
      </c>
      <c r="I274" s="36" t="s">
        <v>21</v>
      </c>
    </row>
    <row r="275" spans="1:9" ht="12.5">
      <c r="A275" s="47">
        <v>1133110</v>
      </c>
      <c r="B275" s="36" t="s">
        <v>225</v>
      </c>
      <c r="C275" s="36" t="s">
        <v>398</v>
      </c>
      <c r="D275" s="36" t="s">
        <v>5328</v>
      </c>
      <c r="E275" s="48" t="str">
        <f ca="1">IFERROR(__xludf.DUMMYFUNCTION("GOOGLETRANSLATE(D275)"),"Qa Testing: Guia Basica para QA y Robot Framework")</f>
        <v>Qa Testing: Guia Basica para QA y Robot Framework</v>
      </c>
      <c r="F275" s="36" t="s">
        <v>5329</v>
      </c>
      <c r="G275" s="45">
        <v>4.4779770000000001</v>
      </c>
      <c r="H275" s="45">
        <v>7.9177770000000001</v>
      </c>
      <c r="I275" s="36" t="s">
        <v>17</v>
      </c>
    </row>
    <row r="276" spans="1:9" ht="12.5">
      <c r="A276" s="47">
        <v>1440514</v>
      </c>
      <c r="B276" s="36" t="s">
        <v>225</v>
      </c>
      <c r="C276" s="36" t="s">
        <v>398</v>
      </c>
      <c r="D276" s="36" t="s">
        <v>5330</v>
      </c>
      <c r="E276" s="48" t="str">
        <f ca="1">IFERROR(__xludf.DUMMYFUNCTION("GOOGLETRANSLATE(D276)"),"Automate your browser. Selenium WebDriver with Python.")</f>
        <v>Automate your browser. Selenium WebDriver with Python.</v>
      </c>
      <c r="F276" s="36" t="s">
        <v>5108</v>
      </c>
      <c r="G276" s="45">
        <v>4.1633129999999996</v>
      </c>
      <c r="H276" s="45">
        <v>2.5255550000000002</v>
      </c>
      <c r="I276" s="36" t="s">
        <v>17</v>
      </c>
    </row>
    <row r="277" spans="1:9" ht="12.5">
      <c r="A277" s="47">
        <v>1249414</v>
      </c>
      <c r="B277" s="36" t="s">
        <v>225</v>
      </c>
      <c r="C277" s="36" t="s">
        <v>398</v>
      </c>
      <c r="D277" s="36" t="s">
        <v>5331</v>
      </c>
      <c r="E277" s="48" t="str">
        <f ca="1">IFERROR(__xludf.DUMMYFUNCTION("GOOGLETRANSLATE(D277)"),"JUnit unit test. Introductory course")</f>
        <v>JUnit unit test. Introductory course</v>
      </c>
      <c r="F277" s="36" t="s">
        <v>5332</v>
      </c>
      <c r="G277" s="45">
        <v>4.406784</v>
      </c>
      <c r="H277" s="45">
        <v>4.252777</v>
      </c>
      <c r="I277" s="36" t="s">
        <v>72</v>
      </c>
    </row>
    <row r="278" spans="1:9" ht="12.5">
      <c r="A278" s="47">
        <v>1985216</v>
      </c>
      <c r="B278" s="36" t="s">
        <v>225</v>
      </c>
      <c r="C278" s="36" t="s">
        <v>398</v>
      </c>
      <c r="D278" s="36" t="s">
        <v>5333</v>
      </c>
      <c r="E278" s="48" t="str">
        <f ca="1">IFERROR(__xludf.DUMMYFUNCTION("GOOGLETRANSLATE(D278)"),"Serverless RESTFul NodeJS API: easy and definitive guide")</f>
        <v>Serverless RESTFul NodeJS API: easy and definitive guide</v>
      </c>
      <c r="F278" s="36" t="s">
        <v>5169</v>
      </c>
      <c r="G278" s="45">
        <v>4.7171244999999997</v>
      </c>
      <c r="H278" s="45">
        <v>1.354444</v>
      </c>
      <c r="I278" s="36" t="s">
        <v>17</v>
      </c>
    </row>
    <row r="279" spans="1:9" ht="12.5">
      <c r="A279" s="47">
        <v>1228066</v>
      </c>
      <c r="B279" s="36" t="s">
        <v>225</v>
      </c>
      <c r="C279" s="36" t="s">
        <v>398</v>
      </c>
      <c r="D279" s="36" t="s">
        <v>5334</v>
      </c>
      <c r="E279" s="48" t="str">
        <f ca="1">IFERROR(__xludf.DUMMYFUNCTION("GOOGLETRANSLATE(D279)"),"UML for Business Analysts")</f>
        <v>UML for Business Analysts</v>
      </c>
      <c r="F279" s="36" t="s">
        <v>5335</v>
      </c>
      <c r="G279" s="45">
        <v>4.6004662999999999</v>
      </c>
      <c r="H279" s="45">
        <v>4.4783330000000001</v>
      </c>
      <c r="I279" s="36" t="s">
        <v>72</v>
      </c>
    </row>
    <row r="280" spans="1:9" ht="12.5">
      <c r="A280" s="47">
        <v>1075334</v>
      </c>
      <c r="B280" s="36" t="s">
        <v>225</v>
      </c>
      <c r="C280" s="36" t="s">
        <v>235</v>
      </c>
      <c r="D280" s="36" t="s">
        <v>5336</v>
      </c>
      <c r="E280" s="48" t="str">
        <f ca="1">IFERROR(__xludf.DUMMYFUNCTION("GOOGLETRANSLATE(D280)"),"Angular: Zero to expert (Angular 10+)")</f>
        <v>Angular: Zero to expert (Angular 10+)</v>
      </c>
      <c r="F280" s="36" t="s">
        <v>5095</v>
      </c>
      <c r="G280" s="45">
        <v>4.699732</v>
      </c>
      <c r="H280" s="45">
        <v>35.305280000000003</v>
      </c>
      <c r="I280" s="36" t="s">
        <v>21</v>
      </c>
    </row>
    <row r="281" spans="1:9" ht="12.5">
      <c r="A281" s="47">
        <v>882422</v>
      </c>
      <c r="B281" s="36" t="s">
        <v>225</v>
      </c>
      <c r="C281" s="36" t="s">
        <v>235</v>
      </c>
      <c r="D281" s="36" t="s">
        <v>5337</v>
      </c>
      <c r="E281" s="48" t="str">
        <f ca="1">IFERROR(__xludf.DUMMYFUNCTION("GOOGLETRANSLATE(D281)"),"Master course Python 3: Learn From Zero")</f>
        <v>Master course Python 3: Learn From Zero</v>
      </c>
      <c r="F281" s="36" t="s">
        <v>5338</v>
      </c>
      <c r="G281" s="45">
        <v>4.6130114000000004</v>
      </c>
      <c r="H281" s="45">
        <v>20.198333999999999</v>
      </c>
      <c r="I281" s="36" t="s">
        <v>21</v>
      </c>
    </row>
    <row r="282" spans="1:9" ht="12.5">
      <c r="A282" s="41">
        <v>3096364</v>
      </c>
      <c r="B282" s="36" t="s">
        <v>225</v>
      </c>
      <c r="C282" s="36" t="s">
        <v>235</v>
      </c>
      <c r="D282" s="43" t="s">
        <v>5339</v>
      </c>
      <c r="E282" s="44" t="str">
        <f ca="1">IFERROR(__xludf.DUMMYFUNCTION("GOOGLETRANSLATE(D282)"),"React: From zero to expert (and SDRM Hooks)")</f>
        <v>React: From zero to expert (and SDRM Hooks)</v>
      </c>
      <c r="F282" s="36" t="s">
        <v>5095</v>
      </c>
      <c r="G282" s="45">
        <v>4.8651914999999999</v>
      </c>
      <c r="H282" s="45">
        <v>42.800834999999999</v>
      </c>
      <c r="I282" s="36" t="s">
        <v>21</v>
      </c>
    </row>
    <row r="283" spans="1:9" ht="12.5">
      <c r="A283" s="47">
        <v>1562070</v>
      </c>
      <c r="B283" s="36" t="s">
        <v>225</v>
      </c>
      <c r="C283" s="36" t="s">
        <v>235</v>
      </c>
      <c r="D283" s="36" t="s">
        <v>5340</v>
      </c>
      <c r="E283" s="48" t="str">
        <f ca="1">IFERROR(__xludf.DUMMYFUNCTION("GOOGLETRANSLATE(D283)"),"Node: From zero to expert")</f>
        <v>Node: From zero to expert</v>
      </c>
      <c r="F283" s="36" t="s">
        <v>5095</v>
      </c>
      <c r="G283" s="45">
        <v>4.7602615000000004</v>
      </c>
      <c r="H283" s="45">
        <v>19.804722000000002</v>
      </c>
      <c r="I283" s="36" t="s">
        <v>17</v>
      </c>
    </row>
    <row r="284" spans="1:9" ht="12.5">
      <c r="A284" s="47">
        <v>1388250</v>
      </c>
      <c r="B284" s="36" t="s">
        <v>225</v>
      </c>
      <c r="C284" s="36" t="s">
        <v>235</v>
      </c>
      <c r="D284" s="36" t="s">
        <v>5341</v>
      </c>
      <c r="E284" s="48" t="str">
        <f ca="1">IFERROR(__xludf.DUMMYFUNCTION("GOOGLETRANSLATE(D284)"),"Spring Framework 5: Creating webapp zero expert (2020)")</f>
        <v>Spring Framework 5: Creating webapp zero expert (2020)</v>
      </c>
      <c r="F284" s="36" t="s">
        <v>4918</v>
      </c>
      <c r="G284" s="45">
        <v>4.7332210000000003</v>
      </c>
      <c r="H284" s="45">
        <v>40.072223999999999</v>
      </c>
      <c r="I284" s="36" t="s">
        <v>21</v>
      </c>
    </row>
    <row r="285" spans="1:9" ht="12.5">
      <c r="A285" s="41">
        <v>1337000</v>
      </c>
      <c r="B285" s="36" t="s">
        <v>225</v>
      </c>
      <c r="C285" s="36" t="s">
        <v>235</v>
      </c>
      <c r="D285" s="43" t="s">
        <v>5342</v>
      </c>
      <c r="E285" s="44" t="str">
        <f ca="1">IFERROR(__xludf.DUMMYFUNCTION("GOOGLETRANSLATE(D285)"),"Master in JavaScript: Learn JS, jQuery, Angle, NodeJS")</f>
        <v>Master in JavaScript: Learn JS, jQuery, Angle, NodeJS</v>
      </c>
      <c r="F285" s="36" t="s">
        <v>5131</v>
      </c>
      <c r="G285" s="45">
        <v>4.4935919999999996</v>
      </c>
      <c r="H285" s="45">
        <v>31.84111</v>
      </c>
      <c r="I285" s="36" t="s">
        <v>21</v>
      </c>
    </row>
    <row r="286" spans="1:9" ht="12.5">
      <c r="A286" s="41">
        <v>1756340</v>
      </c>
      <c r="B286" s="36" t="s">
        <v>225</v>
      </c>
      <c r="C286" s="36" t="s">
        <v>235</v>
      </c>
      <c r="D286" s="43" t="s">
        <v>5343</v>
      </c>
      <c r="E286" s="44" t="str">
        <f ca="1">IFERROR(__xludf.DUMMYFUNCTION("GOOGLETRANSLATE(D286)"),"React - La Guía Completa: Hooks Context Redux MERN +15 Apps")</f>
        <v>React - La Guía Completa: Hooks Context Redux MERN +15 Apps</v>
      </c>
      <c r="F286" s="36" t="s">
        <v>5180</v>
      </c>
      <c r="G286" s="45">
        <v>4.6524333999999996</v>
      </c>
      <c r="H286" s="45">
        <v>44.469166000000001</v>
      </c>
      <c r="I286" s="36" t="s">
        <v>72</v>
      </c>
    </row>
    <row r="287" spans="1:9" ht="12.5">
      <c r="A287" s="41">
        <v>980450</v>
      </c>
      <c r="B287" s="36" t="s">
        <v>225</v>
      </c>
      <c r="C287" s="36" t="s">
        <v>235</v>
      </c>
      <c r="D287" s="43" t="s">
        <v>5344</v>
      </c>
      <c r="E287" s="44" t="str">
        <f ca="1">IFERROR(__xludf.DUMMYFUNCTION("GOOGLETRANSLATE(D287)"),"Full Web development with HTML5, CSS3, PHP and MySQL AJAX JS")</f>
        <v>Full Web development with HTML5, CSS3, PHP and MySQL AJAX JS</v>
      </c>
      <c r="F287" s="36" t="s">
        <v>5180</v>
      </c>
      <c r="G287" s="45">
        <v>4.6576347</v>
      </c>
      <c r="H287" s="45">
        <v>53.976664999999997</v>
      </c>
      <c r="I287" s="36" t="s">
        <v>17</v>
      </c>
    </row>
    <row r="288" spans="1:9" ht="12.5">
      <c r="A288" s="41">
        <v>751768</v>
      </c>
      <c r="B288" s="36" t="s">
        <v>225</v>
      </c>
      <c r="C288" s="36" t="s">
        <v>235</v>
      </c>
      <c r="D288" s="43" t="s">
        <v>5345</v>
      </c>
      <c r="E288" s="44" t="str">
        <f ca="1">IFERROR(__xludf.DUMMYFUNCTION("GOOGLETRANSLATE(D288)"),"JavaScript: from zero to the details (SS5)")</f>
        <v>JavaScript: from zero to the details (SS5)</v>
      </c>
      <c r="F288" s="36" t="s">
        <v>5095</v>
      </c>
      <c r="G288" s="45">
        <v>4.5315919999999998</v>
      </c>
      <c r="H288" s="45">
        <v>8.1119439999999994</v>
      </c>
      <c r="I288" s="36" t="s">
        <v>21</v>
      </c>
    </row>
    <row r="289" spans="1:9" ht="12.5">
      <c r="A289" s="41">
        <v>2264216</v>
      </c>
      <c r="B289" s="36" t="s">
        <v>225</v>
      </c>
      <c r="C289" s="36" t="s">
        <v>235</v>
      </c>
      <c r="D289" s="43" t="s">
        <v>5346</v>
      </c>
      <c r="E289" s="44" t="str">
        <f ca="1">IFERROR(__xludf.DUMMYFUNCTION("GOOGLETRANSLATE(D289)"),"Master in Python: Learning Python 3, Django, Flask and Tkinter")</f>
        <v>Master in Python: Learning Python 3, Django, Flask and Tkinter</v>
      </c>
      <c r="F289" s="36" t="s">
        <v>5131</v>
      </c>
      <c r="G289" s="45">
        <v>4.5423770000000001</v>
      </c>
      <c r="H289" s="45">
        <v>30.309723000000002</v>
      </c>
      <c r="I289" s="36" t="s">
        <v>21</v>
      </c>
    </row>
    <row r="290" spans="1:9" ht="12.5">
      <c r="A290" s="47">
        <v>1509816</v>
      </c>
      <c r="B290" s="36" t="s">
        <v>225</v>
      </c>
      <c r="C290" s="36" t="s">
        <v>235</v>
      </c>
      <c r="D290" s="36" t="s">
        <v>5347</v>
      </c>
      <c r="E290" s="48" t="str">
        <f ca="1">IFERROR(__xludf.DUMMYFUNCTION("GOOGLETRANSLATE(D290)"),"Definitive Guide JavaScript Build Modern Projects +15")</f>
        <v>Definitive Guide JavaScript Build Modern Projects +15</v>
      </c>
      <c r="F290" s="36" t="s">
        <v>5180</v>
      </c>
      <c r="G290" s="45">
        <v>4.6726650000000003</v>
      </c>
      <c r="H290" s="45">
        <v>37.683886999999999</v>
      </c>
      <c r="I290" s="36" t="s">
        <v>21</v>
      </c>
    </row>
    <row r="291" spans="1:9" ht="12.5">
      <c r="A291" s="47">
        <v>1033544</v>
      </c>
      <c r="B291" s="36" t="s">
        <v>225</v>
      </c>
      <c r="C291" s="36" t="s">
        <v>235</v>
      </c>
      <c r="D291" s="36" t="s">
        <v>5348</v>
      </c>
      <c r="E291" s="48" t="str">
        <f ca="1">IFERROR(__xludf.DUMMYFUNCTION("GOOGLETRANSLATE(D291)"),"Typescript: your complete guide and manual labor.")</f>
        <v>Typescript: your complete guide and manual labor.</v>
      </c>
      <c r="F291" s="36" t="s">
        <v>5095</v>
      </c>
      <c r="G291" s="45">
        <v>4.7647339999999998</v>
      </c>
      <c r="H291" s="45">
        <v>6.4775</v>
      </c>
      <c r="I291" s="36" t="s">
        <v>17</v>
      </c>
    </row>
    <row r="292" spans="1:9" ht="12.5">
      <c r="A292" s="41">
        <v>1837638</v>
      </c>
      <c r="B292" s="36" t="s">
        <v>225</v>
      </c>
      <c r="C292" s="36" t="s">
        <v>235</v>
      </c>
      <c r="D292" s="43" t="s">
        <v>5349</v>
      </c>
      <c r="E292" s="44" t="str">
        <f ca="1">IFERROR(__xludf.DUMMYFUNCTION("GOOGLETRANSLATE(D292)"),"Angular &amp; Spring 5: Creando web app full stack (Angular 11+)")</f>
        <v>Angular &amp; Spring 5: Creando web app full stack (Angular 11+)</v>
      </c>
      <c r="F292" s="36" t="s">
        <v>4918</v>
      </c>
      <c r="G292" s="45">
        <v>4.7860746000000001</v>
      </c>
      <c r="H292" s="45">
        <v>23.500277000000001</v>
      </c>
      <c r="I292" s="36" t="s">
        <v>21</v>
      </c>
    </row>
    <row r="293" spans="1:9" ht="12.5">
      <c r="A293" s="41">
        <v>2889734</v>
      </c>
      <c r="B293" s="36" t="s">
        <v>225</v>
      </c>
      <c r="C293" s="36" t="s">
        <v>235</v>
      </c>
      <c r="D293" s="43" t="s">
        <v>5350</v>
      </c>
      <c r="E293" s="44" t="str">
        <f ca="1">IFERROR(__xludf.DUMMYFUNCTION("GOOGLETRANSLATE(D293)"),"React JS From Zero! Hooks, Redux, Context, Firebase and more!")</f>
        <v>React JS From Zero! Hooks, Redux, Context, Firebase and more!</v>
      </c>
      <c r="F293" s="36" t="s">
        <v>5351</v>
      </c>
      <c r="G293" s="45">
        <v>4.7736660000000004</v>
      </c>
      <c r="H293" s="45">
        <v>18.309723000000002</v>
      </c>
      <c r="I293" s="36" t="s">
        <v>21</v>
      </c>
    </row>
    <row r="294" spans="1:9" ht="12.5">
      <c r="A294" s="47">
        <v>1207800</v>
      </c>
      <c r="B294" s="36" t="s">
        <v>225</v>
      </c>
      <c r="C294" s="36" t="s">
        <v>235</v>
      </c>
      <c r="D294" s="36" t="s">
        <v>5352</v>
      </c>
      <c r="E294" s="48" t="str">
        <f ca="1">IFERROR(__xludf.DUMMYFUNCTION("GOOGLETRANSLATE(D294)"),"MongoDB course - Learn NoSQL databases + API NodeJS")</f>
        <v>MongoDB course - Learn NoSQL databases + API NodeJS</v>
      </c>
      <c r="F294" s="36" t="s">
        <v>5131</v>
      </c>
      <c r="G294" s="45">
        <v>4.5087229999999998</v>
      </c>
      <c r="H294" s="45">
        <v>3.5125000000000002</v>
      </c>
      <c r="I294" s="36" t="s">
        <v>21</v>
      </c>
    </row>
    <row r="295" spans="1:9" ht="12.5">
      <c r="A295" s="47">
        <v>1420028</v>
      </c>
      <c r="B295" s="36" t="s">
        <v>225</v>
      </c>
      <c r="C295" s="36" t="s">
        <v>235</v>
      </c>
      <c r="D295" s="36" t="s">
        <v>5353</v>
      </c>
      <c r="E295" s="48" t="str">
        <f ca="1">IFERROR(__xludf.DUMMYFUNCTION("GOOGLETRANSLATE(D295)"),"Angular Advanced: Bring your bases to the next level - MEAN")</f>
        <v>Angular Advanced: Bring your bases to the next level - MEAN</v>
      </c>
      <c r="F295" s="36" t="s">
        <v>5095</v>
      </c>
      <c r="G295" s="45">
        <v>4.8307776000000002</v>
      </c>
      <c r="H295" s="45">
        <v>32.044167000000002</v>
      </c>
      <c r="I295" s="36" t="s">
        <v>72</v>
      </c>
    </row>
    <row r="296" spans="1:9" ht="12.5">
      <c r="A296" s="47">
        <v>2060911</v>
      </c>
      <c r="B296" s="36" t="s">
        <v>225</v>
      </c>
      <c r="C296" s="36" t="s">
        <v>235</v>
      </c>
      <c r="D296" s="36" t="s">
        <v>5354</v>
      </c>
      <c r="E296" s="48" t="str">
        <f ca="1">IFERROR(__xludf.DUMMYFUNCTION("GOOGLETRANSLATE(D296)"),"Master a CSS: Responsive, SASS, Flexbox, Grid y Bootstrap 4")</f>
        <v>Master a CSS: Responsive, SASS, Flexbox, Grid y Bootstrap 4</v>
      </c>
      <c r="F296" s="36" t="s">
        <v>5131</v>
      </c>
      <c r="G296" s="45">
        <v>4.5709558000000001</v>
      </c>
      <c r="H296" s="45">
        <v>20.408611000000001</v>
      </c>
      <c r="I296" s="36" t="s">
        <v>21</v>
      </c>
    </row>
    <row r="297" spans="1:9" ht="12.5">
      <c r="A297" s="47">
        <v>2479282</v>
      </c>
      <c r="B297" s="36" t="s">
        <v>225</v>
      </c>
      <c r="C297" s="36" t="s">
        <v>235</v>
      </c>
      <c r="D297" s="36" t="s">
        <v>5355</v>
      </c>
      <c r="E297" s="48" t="str">
        <f ca="1">IFERROR(__xludf.DUMMYFUNCTION("GOOGLETRANSLATE(D297)"),"Programming with Spring Boot Reactiva 2 and Spring WebFlux")</f>
        <v>Programming with Spring Boot Reactiva 2 and Spring WebFlux</v>
      </c>
      <c r="F297" s="36" t="s">
        <v>4918</v>
      </c>
      <c r="G297" s="45">
        <v>4.7642927000000004</v>
      </c>
      <c r="H297" s="45">
        <v>10.967222</v>
      </c>
      <c r="I297" s="36" t="s">
        <v>72</v>
      </c>
    </row>
    <row r="298" spans="1:9" ht="12.5">
      <c r="A298" s="47">
        <v>1374394</v>
      </c>
      <c r="B298" s="36" t="s">
        <v>225</v>
      </c>
      <c r="C298" s="36" t="s">
        <v>235</v>
      </c>
      <c r="D298" s="36" t="s">
        <v>5356</v>
      </c>
      <c r="E298" s="48" t="str">
        <f ca="1">IFERROR(__xludf.DUMMYFUNCTION("GOOGLETRANSLATE(D298)"),"React JS + Redux + SS6. Full 0 to expert! (Spanish)")</f>
        <v>React JS + Redux + SS6. Full 0 to expert! (Spanish)</v>
      </c>
      <c r="F298" s="36" t="s">
        <v>5357</v>
      </c>
      <c r="G298" s="45">
        <v>4.4299793000000003</v>
      </c>
      <c r="H298" s="45">
        <v>52.336387999999999</v>
      </c>
      <c r="I298" s="36" t="s">
        <v>21</v>
      </c>
    </row>
    <row r="299" spans="1:9" ht="12.5">
      <c r="A299" s="47">
        <v>809410</v>
      </c>
      <c r="B299" s="36" t="s">
        <v>225</v>
      </c>
      <c r="C299" s="36" t="s">
        <v>235</v>
      </c>
      <c r="D299" s="36" t="s">
        <v>5358</v>
      </c>
      <c r="E299" s="48" t="str">
        <f ca="1">IFERROR(__xludf.DUMMYFUNCTION("GOOGLETRANSLATE(D299)"),"Web design from scratch to Advanced Course 45h FULL")</f>
        <v>Web design from scratch to Advanced Course 45h FULL</v>
      </c>
      <c r="F299" s="36" t="s">
        <v>5153</v>
      </c>
      <c r="G299" s="45">
        <v>4.5178120000000002</v>
      </c>
      <c r="H299" s="45">
        <v>44.634444999999999</v>
      </c>
      <c r="I299" s="36" t="s">
        <v>21</v>
      </c>
    </row>
    <row r="300" spans="1:9" ht="12.5">
      <c r="A300" s="41">
        <v>782428</v>
      </c>
      <c r="B300" s="36" t="s">
        <v>225</v>
      </c>
      <c r="C300" s="36" t="s">
        <v>235</v>
      </c>
      <c r="D300" s="43" t="s">
        <v>5359</v>
      </c>
      <c r="E300" s="44" t="str">
        <f ca="1">IFERROR(__xludf.DUMMYFUNCTION("GOOGLETRANSLATE(D300)"),"Web Professional Complete Course, practical design and from 0")</f>
        <v>Web Professional Complete Course, practical design and from 0</v>
      </c>
      <c r="F300" s="36" t="s">
        <v>5077</v>
      </c>
      <c r="G300" s="45">
        <v>4.6060166000000002</v>
      </c>
      <c r="H300" s="45">
        <v>42.667499999999997</v>
      </c>
      <c r="I300" s="36" t="s">
        <v>21</v>
      </c>
    </row>
    <row r="301" spans="1:9" ht="12.5">
      <c r="A301" s="47">
        <v>2048151</v>
      </c>
      <c r="B301" s="36" t="s">
        <v>225</v>
      </c>
      <c r="C301" s="36" t="s">
        <v>235</v>
      </c>
      <c r="D301" s="36" t="s">
        <v>5360</v>
      </c>
      <c r="E301" s="48" t="str">
        <f ca="1">IFERROR(__xludf.DUMMYFUNCTION("GOOGLETRANSLATE(D301)"),"Vue js [Updated 2020] 0 to expert! + Firebase + MEVN")</f>
        <v>Vue js [Updated 2020] 0 to expert! + Firebase + MEVN</v>
      </c>
      <c r="F301" s="36" t="s">
        <v>5351</v>
      </c>
      <c r="G301" s="45">
        <v>4.6874475000000002</v>
      </c>
      <c r="H301" s="45">
        <v>30.42361</v>
      </c>
      <c r="I301" s="36" t="s">
        <v>21</v>
      </c>
    </row>
    <row r="302" spans="1:9" ht="12.5">
      <c r="A302" s="47">
        <v>23864</v>
      </c>
      <c r="B302" s="36" t="s">
        <v>225</v>
      </c>
      <c r="C302" s="36" t="s">
        <v>235</v>
      </c>
      <c r="D302" s="36" t="s">
        <v>5361</v>
      </c>
      <c r="E302" s="48" t="str">
        <f ca="1">IFERROR(__xludf.DUMMYFUNCTION("GOOGLETRANSLATE(D302)"),"Learn Javascript, HTML5 and CSS3")</f>
        <v>Learn Javascript, HTML5 and CSS3</v>
      </c>
      <c r="F302" s="36" t="s">
        <v>5295</v>
      </c>
      <c r="G302" s="45">
        <v>4.5744689999999997</v>
      </c>
      <c r="H302" s="45">
        <v>67.105279999999993</v>
      </c>
      <c r="I302" s="36" t="s">
        <v>21</v>
      </c>
    </row>
    <row r="303" spans="1:9" ht="12.5">
      <c r="A303" s="47">
        <v>2483292</v>
      </c>
      <c r="B303" s="36" t="s">
        <v>225</v>
      </c>
      <c r="C303" s="36" t="s">
        <v>235</v>
      </c>
      <c r="D303" s="36" t="s">
        <v>5362</v>
      </c>
      <c r="E303" s="48" t="str">
        <f ca="1">IFERROR(__xludf.DUMMYFUNCTION("GOOGLETRANSLATE(D303)"),"React University ★: Zero to +5 Master Courses Gift")</f>
        <v>React University ★: Zero to +5 Master Courses Gift</v>
      </c>
      <c r="F303" s="36" t="s">
        <v>5363</v>
      </c>
      <c r="G303" s="45">
        <v>4.6411552</v>
      </c>
      <c r="H303" s="45">
        <v>20.247778</v>
      </c>
      <c r="I303" s="36" t="s">
        <v>21</v>
      </c>
    </row>
    <row r="304" spans="1:9" ht="12.5">
      <c r="A304" s="47">
        <v>2704300</v>
      </c>
      <c r="B304" s="36" t="s">
        <v>225</v>
      </c>
      <c r="C304" s="36" t="s">
        <v>235</v>
      </c>
      <c r="D304" s="36" t="s">
        <v>5364</v>
      </c>
      <c r="E304" s="48" t="str">
        <f ca="1">IFERROR(__xludf.DUMMYFUNCTION("GOOGLETRANSLATE(D304)"),"Microservices with Cloud Spring and Angle 11")</f>
        <v>Microservices with Cloud Spring and Angle 11</v>
      </c>
      <c r="F304" s="36" t="s">
        <v>4918</v>
      </c>
      <c r="G304" s="45">
        <v>4.8048263000000002</v>
      </c>
      <c r="H304" s="45">
        <v>23.950277</v>
      </c>
      <c r="I304" s="36" t="s">
        <v>72</v>
      </c>
    </row>
    <row r="305" spans="1:9" ht="12.5">
      <c r="A305" s="47">
        <v>2921370</v>
      </c>
      <c r="B305" s="36" t="s">
        <v>225</v>
      </c>
      <c r="C305" s="36" t="s">
        <v>235</v>
      </c>
      <c r="D305" s="36" t="s">
        <v>5365</v>
      </c>
      <c r="E305" s="48" t="str">
        <f ca="1">IFERROR(__xludf.DUMMYFUNCTION("GOOGLETRANSLATE(D305)"),"Master en ASP.NET Core y React Hooks en Azure")</f>
        <v>Master en ASP.NET Core y React Hooks en Azure</v>
      </c>
      <c r="F305" s="36" t="s">
        <v>5366</v>
      </c>
      <c r="G305" s="45">
        <v>4.6620317</v>
      </c>
      <c r="H305" s="45">
        <v>36.17389</v>
      </c>
      <c r="I305" s="36" t="s">
        <v>72</v>
      </c>
    </row>
    <row r="306" spans="1:9" ht="12.5">
      <c r="A306" s="41">
        <v>2512098</v>
      </c>
      <c r="B306" s="36" t="s">
        <v>225</v>
      </c>
      <c r="C306" s="36" t="s">
        <v>235</v>
      </c>
      <c r="D306" s="43" t="s">
        <v>5367</v>
      </c>
      <c r="E306" s="44" t="str">
        <f ca="1">IFERROR(__xludf.DUMMYFUNCTION("GOOGLETRANSLATE(D306)"),"Course NodeJS 2020 - Create RESTful Applications")</f>
        <v>Course NodeJS 2020 - Create RESTful Applications</v>
      </c>
      <c r="F306" s="36" t="s">
        <v>5193</v>
      </c>
      <c r="G306" s="45">
        <v>4.2621716999999997</v>
      </c>
      <c r="H306" s="45">
        <v>13.915277</v>
      </c>
      <c r="I306" s="36" t="s">
        <v>17</v>
      </c>
    </row>
    <row r="307" spans="1:9" ht="12.5">
      <c r="A307" s="47">
        <v>2584992</v>
      </c>
      <c r="B307" s="36" t="s">
        <v>225</v>
      </c>
      <c r="C307" s="36" t="s">
        <v>235</v>
      </c>
      <c r="D307" s="36" t="s">
        <v>5368</v>
      </c>
      <c r="E307" s="48" t="str">
        <f ca="1">IFERROR(__xludf.DUMMYFUNCTION("GOOGLETRANSLATE(D307)"),"ReactiveX - RxJs: From zero to details")</f>
        <v>ReactiveX - RxJs: From zero to details</v>
      </c>
      <c r="F307" s="36" t="s">
        <v>5095</v>
      </c>
      <c r="G307" s="45">
        <v>4.7989269999999999</v>
      </c>
      <c r="H307" s="45">
        <v>9.2650000000000006</v>
      </c>
      <c r="I307" s="36" t="s">
        <v>21</v>
      </c>
    </row>
    <row r="308" spans="1:9" ht="12.5">
      <c r="A308" s="41">
        <v>1148468</v>
      </c>
      <c r="B308" s="36" t="s">
        <v>225</v>
      </c>
      <c r="C308" s="36" t="s">
        <v>235</v>
      </c>
      <c r="D308" s="43" t="s">
        <v>5369</v>
      </c>
      <c r="E308" s="44" t="str">
        <f ca="1">IFERROR(__xludf.DUMMYFUNCTION("GOOGLETRANSLATE(D308)"),"Boot Spring Spring MVC-2 &amp; Professional Web Development (2020)")</f>
        <v>Boot Spring Spring MVC-2 &amp; Professional Web Development (2020)</v>
      </c>
      <c r="F308" s="36" t="s">
        <v>5104</v>
      </c>
      <c r="G308" s="45">
        <v>4.5711126000000002</v>
      </c>
      <c r="H308" s="45">
        <v>42.150832999999999</v>
      </c>
      <c r="I308" s="36" t="s">
        <v>21</v>
      </c>
    </row>
    <row r="309" spans="1:9" ht="12.5">
      <c r="A309" s="47">
        <v>1894936</v>
      </c>
      <c r="B309" s="36" t="s">
        <v>225</v>
      </c>
      <c r="C309" s="36" t="s">
        <v>235</v>
      </c>
      <c r="D309" s="36" t="s">
        <v>5370</v>
      </c>
      <c r="E309" s="48" t="str">
        <f ca="1">IFERROR(__xludf.DUMMYFUNCTION("GOOGLETRANSLATE(D309)"),"PWA - Progressive Web Applications: Zero expert")</f>
        <v>PWA - Progressive Web Applications: Zero expert</v>
      </c>
      <c r="F309" s="36" t="s">
        <v>5095</v>
      </c>
      <c r="G309" s="45">
        <v>4.8139453000000003</v>
      </c>
      <c r="H309" s="45">
        <v>14.575555</v>
      </c>
      <c r="I309" s="36" t="s">
        <v>21</v>
      </c>
    </row>
    <row r="310" spans="1:9" ht="12.5">
      <c r="A310" s="47">
        <v>2823069</v>
      </c>
      <c r="B310" s="36" t="s">
        <v>225</v>
      </c>
      <c r="C310" s="36" t="s">
        <v>235</v>
      </c>
      <c r="D310" s="36" t="s">
        <v>5371</v>
      </c>
      <c r="E310" s="48" t="str">
        <f ca="1">IFERROR(__xludf.DUMMYFUNCTION("GOOGLETRANSLATE(D310)"),"Spring University - Learn Spring Framework and Spring Boot!")</f>
        <v>Spring University - Learn Spring Framework and Spring Boot!</v>
      </c>
      <c r="F310" s="36" t="s">
        <v>5241</v>
      </c>
      <c r="G310" s="45">
        <v>4.5893540000000002</v>
      </c>
      <c r="H310" s="45">
        <v>74.165276000000006</v>
      </c>
      <c r="I310" s="36" t="s">
        <v>21</v>
      </c>
    </row>
    <row r="311" spans="1:9" ht="12.5">
      <c r="A311" s="47">
        <v>1735276</v>
      </c>
      <c r="B311" s="36" t="s">
        <v>225</v>
      </c>
      <c r="C311" s="36" t="s">
        <v>235</v>
      </c>
      <c r="D311" s="36" t="s">
        <v>5372</v>
      </c>
      <c r="E311" s="48" t="str">
        <f ca="1">IFERROR(__xludf.DUMMYFUNCTION("GOOGLETRANSLATE(D311)"),"Angular with NGRX REDUX: From grassroots to practice")</f>
        <v>Angular with NGRX REDUX: From grassroots to practice</v>
      </c>
      <c r="F311" s="36" t="s">
        <v>5095</v>
      </c>
      <c r="G311" s="45">
        <v>4.8240670000000003</v>
      </c>
      <c r="H311" s="45">
        <v>12.166388</v>
      </c>
      <c r="I311" s="36" t="s">
        <v>72</v>
      </c>
    </row>
    <row r="312" spans="1:9" ht="12.5">
      <c r="A312" s="47">
        <v>672600</v>
      </c>
      <c r="B312" s="36" t="s">
        <v>225</v>
      </c>
      <c r="C312" s="36" t="s">
        <v>235</v>
      </c>
      <c r="D312" s="36" t="s">
        <v>5373</v>
      </c>
      <c r="E312" s="48" t="str">
        <f ca="1">IFERROR(__xludf.DUMMYFUNCTION("GOOGLETRANSLATE(D312)"),"PHP 7 and MYSQL: The Complete Course, Practical and From Zero!")</f>
        <v>PHP 7 and MYSQL: The Complete Course, Practical and From Zero!</v>
      </c>
      <c r="F312" s="36" t="s">
        <v>5077</v>
      </c>
      <c r="G312" s="45">
        <v>4.5673719999999998</v>
      </c>
      <c r="H312" s="45">
        <v>20.231112</v>
      </c>
      <c r="I312" s="36" t="s">
        <v>17</v>
      </c>
    </row>
    <row r="313" spans="1:9" ht="12.5">
      <c r="A313" s="47">
        <v>580442</v>
      </c>
      <c r="B313" s="36" t="s">
        <v>225</v>
      </c>
      <c r="C313" s="36" t="s">
        <v>235</v>
      </c>
      <c r="D313" s="36" t="s">
        <v>5374</v>
      </c>
      <c r="E313" s="48" t="str">
        <f ca="1">IFERROR(__xludf.DUMMYFUNCTION("GOOGLETRANSLATE(D313)"),"WordPress - WordPress Complete Course and Web sites")</f>
        <v>WordPress - WordPress Complete Course and Web sites</v>
      </c>
      <c r="F313" s="36" t="s">
        <v>2378</v>
      </c>
      <c r="G313" s="45">
        <v>4.4739760000000004</v>
      </c>
      <c r="H313" s="45">
        <v>3.298333</v>
      </c>
      <c r="I313" s="36" t="s">
        <v>21</v>
      </c>
    </row>
    <row r="314" spans="1:9" ht="12.5">
      <c r="A314" s="47">
        <v>721844</v>
      </c>
      <c r="B314" s="36" t="s">
        <v>225</v>
      </c>
      <c r="C314" s="36" t="s">
        <v>235</v>
      </c>
      <c r="D314" s="36" t="s">
        <v>5375</v>
      </c>
      <c r="E314" s="48" t="str">
        <f ca="1">IFERROR(__xludf.DUMMYFUNCTION("GOOGLETRANSLATE(D314)"),"Learn how to create websites from scratch with HTML and CSS")</f>
        <v>Learn how to create websites from scratch with HTML and CSS</v>
      </c>
      <c r="F314" s="36" t="s">
        <v>5376</v>
      </c>
      <c r="G314" s="45">
        <v>4.6695123000000001</v>
      </c>
      <c r="H314" s="45">
        <v>6.1202769999999997</v>
      </c>
      <c r="I314" s="36" t="s">
        <v>17</v>
      </c>
    </row>
    <row r="315" spans="1:9" ht="12.5">
      <c r="A315" s="41">
        <v>1438222</v>
      </c>
      <c r="B315" s="36" t="s">
        <v>225</v>
      </c>
      <c r="C315" s="36" t="s">
        <v>235</v>
      </c>
      <c r="D315" s="43" t="s">
        <v>5377</v>
      </c>
      <c r="E315" s="44" t="str">
        <f ca="1">IFERROR(__xludf.DUMMYFUNCTION("GOOGLETRANSLATE(D315)"),"Master en PHP, SQL, POO, MVC, Laravel, Symfony, WordPress +")</f>
        <v>Master en PHP, SQL, POO, MVC, Laravel, Symfony, WordPress +</v>
      </c>
      <c r="F315" s="36" t="s">
        <v>5131</v>
      </c>
      <c r="G315" s="45">
        <v>4.5299820000000004</v>
      </c>
      <c r="H315" s="45">
        <v>56.467776999999998</v>
      </c>
      <c r="I315" s="36" t="s">
        <v>21</v>
      </c>
    </row>
    <row r="316" spans="1:9" ht="12.5">
      <c r="A316" s="47">
        <v>1634180</v>
      </c>
      <c r="B316" s="36" t="s">
        <v>225</v>
      </c>
      <c r="C316" s="36" t="s">
        <v>235</v>
      </c>
      <c r="D316" s="36" t="s">
        <v>5378</v>
      </c>
      <c r="E316" s="48" t="str">
        <f ca="1">IFERROR(__xludf.DUMMYFUNCTION("GOOGLETRANSLATE(D316)"),"Create an ASP .NET Web Core Basic API from a database")</f>
        <v>Create an ASP .NET Web Core Basic API from a database</v>
      </c>
      <c r="F316" s="36" t="s">
        <v>4912</v>
      </c>
      <c r="G316" s="45">
        <v>4.5781910000000003</v>
      </c>
      <c r="H316" s="45">
        <v>2.870555</v>
      </c>
      <c r="I316" s="36" t="s">
        <v>17</v>
      </c>
    </row>
    <row r="317" spans="1:9" ht="12.5">
      <c r="A317" s="47">
        <v>2056209</v>
      </c>
      <c r="B317" s="36" t="s">
        <v>225</v>
      </c>
      <c r="C317" s="36" t="s">
        <v>235</v>
      </c>
      <c r="D317" s="36" t="s">
        <v>5379</v>
      </c>
      <c r="E317" s="48" t="str">
        <f ca="1">IFERROR(__xludf.DUMMYFUNCTION("GOOGLETRANSLATE(D317)"),"React Advanced: Fullstack Next.js, Apollo, MongoDB and GraphQL")</f>
        <v>React Advanced: Fullstack Next.js, Apollo, MongoDB and GraphQL</v>
      </c>
      <c r="F317" s="36" t="s">
        <v>5180</v>
      </c>
      <c r="G317" s="45">
        <v>4.594678</v>
      </c>
      <c r="H317" s="45">
        <v>27.197222</v>
      </c>
      <c r="I317" s="36" t="s">
        <v>21</v>
      </c>
    </row>
    <row r="318" spans="1:9" ht="12.5">
      <c r="A318" s="41">
        <v>866398</v>
      </c>
      <c r="B318" s="36" t="s">
        <v>225</v>
      </c>
      <c r="C318" s="36" t="s">
        <v>235</v>
      </c>
      <c r="D318" s="43" t="s">
        <v>5380</v>
      </c>
      <c r="E318" s="44" t="str">
        <f ca="1">IFERROR(__xludf.DUMMYFUNCTION("GOOGLETRANSLATE(D318)"),"JavaScript: ECMAScript 6 and all details")</f>
        <v>JavaScript: ECMAScript 6 and all details</v>
      </c>
      <c r="F318" s="36" t="s">
        <v>5095</v>
      </c>
      <c r="G318" s="45">
        <v>4.8004939999999996</v>
      </c>
      <c r="H318" s="45">
        <v>6.0941660000000004</v>
      </c>
      <c r="I318" s="36" t="s">
        <v>72</v>
      </c>
    </row>
    <row r="319" spans="1:9" ht="12.5">
      <c r="A319" s="47">
        <v>1245130</v>
      </c>
      <c r="B319" s="36" t="s">
        <v>225</v>
      </c>
      <c r="C319" s="36" t="s">
        <v>235</v>
      </c>
      <c r="D319" s="36" t="s">
        <v>5381</v>
      </c>
      <c r="E319" s="48" t="str">
        <f ca="1">IFERROR(__xludf.DUMMYFUNCTION("GOOGLETRANSLATE(D319)"),"Bootstrap 4: The Complete Course, Practical and Desde Cero")</f>
        <v>Bootstrap 4: The Complete Course, Practical and Desde Cero</v>
      </c>
      <c r="F319" s="36" t="s">
        <v>5077</v>
      </c>
      <c r="G319" s="45">
        <v>4.4840654999999998</v>
      </c>
      <c r="H319" s="45">
        <v>19.158611000000001</v>
      </c>
      <c r="I319" s="36" t="s">
        <v>17</v>
      </c>
    </row>
    <row r="320" spans="1:9" ht="12.5">
      <c r="A320" s="41">
        <v>1444542</v>
      </c>
      <c r="B320" s="36" t="s">
        <v>225</v>
      </c>
      <c r="C320" s="36" t="s">
        <v>235</v>
      </c>
      <c r="D320" s="43" t="s">
        <v>5382</v>
      </c>
      <c r="E320" s="44" t="str">
        <f ca="1">IFERROR(__xludf.DUMMYFUNCTION("GOOGLETRANSLATE(D320)"),"Django Workshop: Learn creating 3 Websites")</f>
        <v>Django Workshop: Learn creating 3 Websites</v>
      </c>
      <c r="F320" s="36" t="s">
        <v>5338</v>
      </c>
      <c r="G320" s="45">
        <v>4.6975927000000004</v>
      </c>
      <c r="H320" s="45">
        <v>11.81</v>
      </c>
      <c r="I320" s="36" t="s">
        <v>72</v>
      </c>
    </row>
    <row r="321" spans="1:9" ht="12.5">
      <c r="A321" s="47">
        <v>1608312</v>
      </c>
      <c r="B321" s="36" t="s">
        <v>225</v>
      </c>
      <c r="C321" s="36" t="s">
        <v>235</v>
      </c>
      <c r="D321" s="36" t="s">
        <v>5383</v>
      </c>
      <c r="E321" s="48" t="str">
        <f ca="1">IFERROR(__xludf.DUMMYFUNCTION("GOOGLETRANSLATE(D321)"),"CSS Grid and Flexbox, The Ultimate Guide Create + 10 Projects")</f>
        <v>CSS Grid and Flexbox, The Ultimate Guide Create + 10 Projects</v>
      </c>
      <c r="F321" s="36" t="s">
        <v>5180</v>
      </c>
      <c r="G321" s="45">
        <v>4.7097053999999998</v>
      </c>
      <c r="H321" s="45">
        <v>12.783333000000001</v>
      </c>
      <c r="I321" s="36" t="s">
        <v>72</v>
      </c>
    </row>
    <row r="322" spans="1:9" ht="12.5">
      <c r="A322" s="41">
        <v>1719364</v>
      </c>
      <c r="B322" s="36" t="s">
        <v>225</v>
      </c>
      <c r="C322" s="36" t="s">
        <v>235</v>
      </c>
      <c r="D322" s="36" t="s">
        <v>5384</v>
      </c>
      <c r="E322" s="48" t="str">
        <f ca="1">IFERROR(__xludf.DUMMYFUNCTION("GOOGLETRANSLATE(D322)"),"Master en Frameworks JavaScript: Aprende Angular, React, Vue")</f>
        <v>Master en Frameworks JavaScript: Aprende Angular, React, Vue</v>
      </c>
      <c r="F322" s="36" t="s">
        <v>5131</v>
      </c>
      <c r="G322" s="45">
        <v>4.4481719999999996</v>
      </c>
      <c r="H322" s="45">
        <v>26.686665999999999</v>
      </c>
      <c r="I322" s="36" t="s">
        <v>21</v>
      </c>
    </row>
    <row r="323" spans="1:9" ht="12.5">
      <c r="A323" s="47">
        <v>1726548</v>
      </c>
      <c r="B323" s="36" t="s">
        <v>225</v>
      </c>
      <c r="C323" s="36" t="s">
        <v>235</v>
      </c>
      <c r="D323" s="36" t="s">
        <v>5385</v>
      </c>
      <c r="E323" s="48" t="str">
        <f ca="1">IFERROR(__xludf.DUMMYFUNCTION("GOOGLETRANSLATE(D323)"),"Angular with DevOps, TDD, Unit Testing, Pipelines, Azure")</f>
        <v>Angular with DevOps, TDD, Unit Testing, Pipelines, Azure</v>
      </c>
      <c r="F323" s="36" t="s">
        <v>5386</v>
      </c>
      <c r="G323" s="45">
        <v>4.0371975999999998</v>
      </c>
      <c r="H323" s="45">
        <v>7.708888</v>
      </c>
      <c r="I323" s="36" t="s">
        <v>72</v>
      </c>
    </row>
    <row r="324" spans="1:9" ht="12.5">
      <c r="A324" s="41">
        <v>2105384</v>
      </c>
      <c r="B324" s="36" t="s">
        <v>225</v>
      </c>
      <c r="C324" s="36" t="s">
        <v>235</v>
      </c>
      <c r="D324" s="43" t="s">
        <v>5387</v>
      </c>
      <c r="E324" s="44" t="str">
        <f ca="1">IFERROR(__xludf.DUMMYFUNCTION("GOOGLETRANSLATE(D324)"),"Angular: Angular The best course. Zero to Expert!")</f>
        <v>Angular: Angular The best course. Zero to Expert!</v>
      </c>
      <c r="F324" s="36" t="s">
        <v>5241</v>
      </c>
      <c r="G324" s="45">
        <v>4.3906710000000002</v>
      </c>
      <c r="H324" s="45">
        <v>45.594723000000002</v>
      </c>
      <c r="I324" s="36" t="s">
        <v>21</v>
      </c>
    </row>
    <row r="325" spans="1:9" ht="12.5">
      <c r="A325" s="41">
        <v>781696</v>
      </c>
      <c r="B325" s="36" t="s">
        <v>225</v>
      </c>
      <c r="C325" s="36" t="s">
        <v>235</v>
      </c>
      <c r="D325" s="43" t="s">
        <v>5388</v>
      </c>
      <c r="E325" s="44" t="str">
        <f ca="1">IFERROR(__xludf.DUMMYFUNCTION("GOOGLETRANSLATE(D325)"),"Course Java SE, Java EE with MySQL - basic to advanced")</f>
        <v>Course Java SE, Java EE with MySQL - basic to advanced</v>
      </c>
      <c r="F325" s="36" t="s">
        <v>5104</v>
      </c>
      <c r="G325" s="45">
        <v>4.5352892999999996</v>
      </c>
      <c r="H325" s="45">
        <v>40.131943</v>
      </c>
      <c r="I325" s="36" t="s">
        <v>17</v>
      </c>
    </row>
    <row r="326" spans="1:9" ht="12.5">
      <c r="A326" s="41">
        <v>2306018</v>
      </c>
      <c r="B326" s="36" t="s">
        <v>225</v>
      </c>
      <c r="C326" s="36" t="s">
        <v>235</v>
      </c>
      <c r="D326" s="43" t="s">
        <v>5389</v>
      </c>
      <c r="E326" s="44" t="str">
        <f ca="1">IFERROR(__xludf.DUMMYFUNCTION("GOOGLETRANSLATE(D326)"),"Node.js - Bootcamp Web Development inc. MVC and REST APIs")</f>
        <v>Node.js - Bootcamp Web Development inc. MVC and REST APIs</v>
      </c>
      <c r="F326" s="36" t="s">
        <v>5180</v>
      </c>
      <c r="G326" s="45">
        <v>4.6966953</v>
      </c>
      <c r="H326" s="45">
        <v>36.252777000000002</v>
      </c>
      <c r="I326" s="36" t="s">
        <v>21</v>
      </c>
    </row>
    <row r="327" spans="1:9" ht="12.5">
      <c r="A327" s="41">
        <v>2146572</v>
      </c>
      <c r="B327" s="36" t="s">
        <v>225</v>
      </c>
      <c r="C327" s="36" t="s">
        <v>235</v>
      </c>
      <c r="D327" s="43" t="s">
        <v>5390</v>
      </c>
      <c r="E327" s="44" t="str">
        <f ca="1">IFERROR(__xludf.DUMMYFUNCTION("GOOGLETRANSLATE(D327)"),"Learn Angle (8/9/10) from 0 to 10 complete projects")</f>
        <v>Learn Angle (8/9/10) from 0 to 10 complete projects</v>
      </c>
      <c r="F327" s="36" t="s">
        <v>5272</v>
      </c>
      <c r="G327" s="45">
        <v>4.8258923999999999</v>
      </c>
      <c r="H327" s="45">
        <v>30.898053999999998</v>
      </c>
      <c r="I327" s="36" t="s">
        <v>21</v>
      </c>
    </row>
    <row r="328" spans="1:9" ht="12.5">
      <c r="A328" s="47">
        <v>2264768</v>
      </c>
      <c r="B328" s="36" t="s">
        <v>225</v>
      </c>
      <c r="C328" s="36" t="s">
        <v>235</v>
      </c>
      <c r="D328" s="36" t="s">
        <v>5391</v>
      </c>
      <c r="E328" s="48" t="str">
        <f ca="1">IFERROR(__xludf.DUMMYFUNCTION("GOOGLETRANSLATE(D328)"),"Web Personal MERN Full Stack: MongoDB, Express, React y Node")</f>
        <v>Web Personal MERN Full Stack: MongoDB, Express, React y Node</v>
      </c>
      <c r="F328" s="36" t="s">
        <v>5175</v>
      </c>
      <c r="G328" s="45">
        <v>4.5922679999999998</v>
      </c>
      <c r="H328" s="45">
        <v>33.25611</v>
      </c>
      <c r="I328" s="36" t="s">
        <v>21</v>
      </c>
    </row>
    <row r="329" spans="1:9" ht="12.5">
      <c r="A329" s="47">
        <v>557464</v>
      </c>
      <c r="B329" s="36" t="s">
        <v>225</v>
      </c>
      <c r="C329" s="36" t="s">
        <v>235</v>
      </c>
      <c r="D329" s="36" t="s">
        <v>5392</v>
      </c>
      <c r="E329" s="48" t="str">
        <f ca="1">IFERROR(__xludf.DUMMYFUNCTION("GOOGLETRANSLATE(D329)"),"JPA Advanced: Professional use JPA with Hibernate")</f>
        <v>JPA Advanced: Professional use JPA with Hibernate</v>
      </c>
      <c r="F329" s="36" t="s">
        <v>5246</v>
      </c>
      <c r="G329" s="45">
        <v>4.2719050000000003</v>
      </c>
      <c r="H329" s="45">
        <v>4.4769439999999996</v>
      </c>
      <c r="I329" s="36" t="s">
        <v>21</v>
      </c>
    </row>
    <row r="330" spans="1:9" ht="12.5">
      <c r="A330" s="47">
        <v>1418884</v>
      </c>
      <c r="B330" s="36" t="s">
        <v>225</v>
      </c>
      <c r="C330" s="36" t="s">
        <v>235</v>
      </c>
      <c r="D330" s="36" t="s">
        <v>5393</v>
      </c>
      <c r="E330" s="48" t="str">
        <f ca="1">IFERROR(__xludf.DUMMYFUNCTION("GOOGLETRANSLATE(D330)"),"Aprender React JS")</f>
        <v>Aprender React JS</v>
      </c>
      <c r="F330" s="36" t="s">
        <v>5394</v>
      </c>
      <c r="G330" s="45">
        <v>4.5576414999999999</v>
      </c>
      <c r="H330" s="45">
        <v>5.271388</v>
      </c>
      <c r="I330" s="36" t="s">
        <v>72</v>
      </c>
    </row>
    <row r="331" spans="1:9" ht="12.5">
      <c r="A331" s="47">
        <v>1996048</v>
      </c>
      <c r="B331" s="36" t="s">
        <v>225</v>
      </c>
      <c r="C331" s="36" t="s">
        <v>235</v>
      </c>
      <c r="D331" s="36" t="s">
        <v>5395</v>
      </c>
      <c r="E331" s="48" t="str">
        <f ca="1">IFERROR(__xludf.DUMMYFUNCTION("GOOGLETRANSLATE(D331)"),"Angular: Real-time applications with sockets and rest")</f>
        <v>Angular: Real-time applications with sockets and rest</v>
      </c>
      <c r="F331" s="36" t="s">
        <v>5095</v>
      </c>
      <c r="G331" s="45">
        <v>4.8554389999999996</v>
      </c>
      <c r="H331" s="45">
        <v>9.4963879999999996</v>
      </c>
      <c r="I331" s="36" t="s">
        <v>72</v>
      </c>
    </row>
    <row r="332" spans="1:9" ht="12.5">
      <c r="A332" s="47">
        <v>2235696</v>
      </c>
      <c r="B332" s="36" t="s">
        <v>225</v>
      </c>
      <c r="C332" s="36" t="s">
        <v>235</v>
      </c>
      <c r="D332" s="36" t="s">
        <v>5396</v>
      </c>
      <c r="E332" s="48" t="str">
        <f ca="1">IFERROR(__xludf.DUMMYFUNCTION("GOOGLETRANSLATE(D332)"),"Net MVC Core 3 and 2.2. Initial Guide")</f>
        <v>Net MVC Core 3 and 2.2. Initial Guide</v>
      </c>
      <c r="F332" s="36" t="s">
        <v>5397</v>
      </c>
      <c r="G332" s="45">
        <v>4.1312819999999997</v>
      </c>
      <c r="H332" s="45">
        <v>5.6608330000000002</v>
      </c>
      <c r="I332" s="36" t="s">
        <v>17</v>
      </c>
    </row>
    <row r="333" spans="1:9" ht="12.5">
      <c r="A333" s="47">
        <v>798076</v>
      </c>
      <c r="B333" s="36" t="s">
        <v>225</v>
      </c>
      <c r="C333" s="36" t="s">
        <v>235</v>
      </c>
      <c r="D333" s="36" t="s">
        <v>5398</v>
      </c>
      <c r="E333" s="48" t="str">
        <f ca="1">IFERROR(__xludf.DUMMYFUNCTION("GOOGLETRANSLATE(D333)"),"Introducción a Spring Web MVC 5.0 con Spring Boot")</f>
        <v>Introducción a Spring Web MVC 5.0 con Spring Boot</v>
      </c>
      <c r="F333" s="36" t="s">
        <v>5246</v>
      </c>
      <c r="G333" s="45">
        <v>4.3323270000000003</v>
      </c>
      <c r="H333" s="45">
        <v>3.0816659999999998</v>
      </c>
      <c r="I333" s="36" t="s">
        <v>21</v>
      </c>
    </row>
    <row r="334" spans="1:9" ht="12.5">
      <c r="A334" s="41">
        <v>2282740</v>
      </c>
      <c r="B334" s="36" t="s">
        <v>225</v>
      </c>
      <c r="C334" s="36" t="s">
        <v>235</v>
      </c>
      <c r="D334" s="36" t="s">
        <v>5399</v>
      </c>
      <c r="E334" s="48" t="str">
        <f ca="1">IFERROR(__xludf.DUMMYFUNCTION("GOOGLETRANSLATE(D334)"),"React learn Redux with hooks and easily GraphQL")</f>
        <v>React learn Redux with hooks and easily GraphQL</v>
      </c>
      <c r="F334" s="36" t="s">
        <v>5400</v>
      </c>
      <c r="G334" s="45">
        <v>4.7412089999999996</v>
      </c>
      <c r="H334" s="45">
        <v>3.1280549999999998</v>
      </c>
      <c r="I334" s="36" t="s">
        <v>259</v>
      </c>
    </row>
    <row r="335" spans="1:9" ht="12.5">
      <c r="A335" s="41">
        <v>1023976</v>
      </c>
      <c r="B335" s="36" t="s">
        <v>225</v>
      </c>
      <c r="C335" s="36" t="s">
        <v>235</v>
      </c>
      <c r="D335" s="43" t="s">
        <v>5401</v>
      </c>
      <c r="E335" s="44" t="str">
        <f ca="1">IFERROR(__xludf.DUMMYFUNCTION("GOOGLETRANSLATE(D335)"),"Web development with JavaScript, Angle, NodeJS and MongoDB")</f>
        <v>Web development with JavaScript, Angle, NodeJS and MongoDB</v>
      </c>
      <c r="F335" s="36" t="s">
        <v>5131</v>
      </c>
      <c r="G335" s="45">
        <v>4.3191476</v>
      </c>
      <c r="H335" s="45">
        <v>16.943611000000001</v>
      </c>
      <c r="I335" s="36" t="s">
        <v>21</v>
      </c>
    </row>
    <row r="336" spans="1:9" ht="12.5">
      <c r="A336" s="47">
        <v>1254192</v>
      </c>
      <c r="B336" s="36" t="s">
        <v>225</v>
      </c>
      <c r="C336" s="36" t="s">
        <v>235</v>
      </c>
      <c r="D336" s="36" t="s">
        <v>5402</v>
      </c>
      <c r="E336" s="48" t="str">
        <f ca="1">IFERROR(__xludf.DUMMYFUNCTION("GOOGLETRANSLATE(D336)"),"Angular components - PRO level (Angle 2/4/5/6/7 +)")</f>
        <v>Angular components - PRO level (Angle 2/4/5/6/7 +)</v>
      </c>
      <c r="F336" s="36" t="s">
        <v>5403</v>
      </c>
      <c r="G336" s="45">
        <v>4.6440744</v>
      </c>
      <c r="H336" s="45">
        <v>2.822222</v>
      </c>
      <c r="I336" s="36" t="s">
        <v>259</v>
      </c>
    </row>
    <row r="337" spans="1:9" ht="12.5">
      <c r="A337" s="41">
        <v>2077810</v>
      </c>
      <c r="B337" s="36" t="s">
        <v>225</v>
      </c>
      <c r="C337" s="36" t="s">
        <v>235</v>
      </c>
      <c r="D337" s="43" t="s">
        <v>5404</v>
      </c>
      <c r="E337" s="44" t="str">
        <f ca="1">IFERROR(__xludf.DUMMYFUNCTION("GOOGLETRANSLATE(D337)"),"Professional Web Design with HTML5 and CSS3 Full and BOOTSTRAP")</f>
        <v>Professional Web Design with HTML5 and CSS3 Full and BOOTSTRAP</v>
      </c>
      <c r="F337" s="36" t="s">
        <v>5405</v>
      </c>
      <c r="G337" s="45">
        <v>4.5544696</v>
      </c>
      <c r="H337" s="45">
        <v>9.9844439999999999</v>
      </c>
      <c r="I337" s="36" t="s">
        <v>17</v>
      </c>
    </row>
    <row r="338" spans="1:9" ht="12.5">
      <c r="A338" s="41">
        <v>2171016</v>
      </c>
      <c r="B338" s="36" t="s">
        <v>225</v>
      </c>
      <c r="C338" s="36" t="s">
        <v>235</v>
      </c>
      <c r="D338" s="43" t="s">
        <v>5406</v>
      </c>
      <c r="E338" s="44" t="str">
        <f ca="1">IFERROR(__xludf.DUMMYFUNCTION("GOOGLETRANSLATE(D338)"),"Master in Web Services with C #")</f>
        <v>Master in Web Services with C #</v>
      </c>
      <c r="F338" s="36" t="s">
        <v>5407</v>
      </c>
      <c r="G338" s="45">
        <v>4.5676183999999997</v>
      </c>
      <c r="H338" s="45">
        <v>4.4536110000000004</v>
      </c>
      <c r="I338" s="36" t="s">
        <v>21</v>
      </c>
    </row>
    <row r="339" spans="1:9" ht="12.5">
      <c r="A339" s="47">
        <v>2201832</v>
      </c>
      <c r="B339" s="36" t="s">
        <v>225</v>
      </c>
      <c r="C339" s="36" t="s">
        <v>235</v>
      </c>
      <c r="D339" s="36" t="s">
        <v>5408</v>
      </c>
      <c r="E339" s="48" t="str">
        <f ca="1">IFERROR(__xludf.DUMMYFUNCTION("GOOGLETRANSLATE(D339)"),"Creating Online Shopping: Easy, Complete and from Scratch")</f>
        <v>Creating Online Shopping: Easy, Complete and from Scratch</v>
      </c>
      <c r="F339" s="36" t="s">
        <v>5077</v>
      </c>
      <c r="G339" s="45">
        <v>4.6397656999999999</v>
      </c>
      <c r="H339" s="45">
        <v>14.085277</v>
      </c>
      <c r="I339" s="36" t="s">
        <v>17</v>
      </c>
    </row>
    <row r="340" spans="1:9" ht="12.5">
      <c r="A340" s="47">
        <v>2555994</v>
      </c>
      <c r="B340" s="36" t="s">
        <v>225</v>
      </c>
      <c r="C340" s="36" t="s">
        <v>235</v>
      </c>
      <c r="D340" s="36" t="s">
        <v>5409</v>
      </c>
      <c r="E340" s="48" t="str">
        <f ca="1">IFERROR(__xludf.DUMMYFUNCTION("GOOGLETRANSLATE(D340)"),"React JS Hooks: Expert Created Zero to Real Applications")</f>
        <v>React JS Hooks: Expert Created Zero to Real Applications</v>
      </c>
      <c r="F340" s="36" t="s">
        <v>5175</v>
      </c>
      <c r="G340" s="45">
        <v>4.6625833999999999</v>
      </c>
      <c r="H340" s="45">
        <v>18.374721999999998</v>
      </c>
      <c r="I340" s="36" t="s">
        <v>21</v>
      </c>
    </row>
    <row r="341" spans="1:9" ht="12.5">
      <c r="A341" s="47">
        <v>1237204</v>
      </c>
      <c r="B341" s="36" t="s">
        <v>225</v>
      </c>
      <c r="C341" s="36" t="s">
        <v>235</v>
      </c>
      <c r="D341" s="36" t="s">
        <v>5410</v>
      </c>
      <c r="E341" s="48" t="str">
        <f ca="1">IFERROR(__xludf.DUMMYFUNCTION("GOOGLETRANSLATE(D341)"),"Development of Virtual Stores WordPress and WooCommerce")</f>
        <v>Development of Virtual Stores WordPress and WooCommerce</v>
      </c>
      <c r="F341" s="36" t="s">
        <v>5180</v>
      </c>
      <c r="G341" s="45">
        <v>4.2622495000000002</v>
      </c>
      <c r="H341" s="45">
        <v>10.422222</v>
      </c>
      <c r="I341" s="36" t="s">
        <v>17</v>
      </c>
    </row>
    <row r="342" spans="1:9" ht="12.5">
      <c r="A342" s="47">
        <v>1325394</v>
      </c>
      <c r="B342" s="36" t="s">
        <v>225</v>
      </c>
      <c r="C342" s="36" t="s">
        <v>235</v>
      </c>
      <c r="D342" s="36" t="s">
        <v>5411</v>
      </c>
      <c r="E342" s="48" t="str">
        <f ca="1">IFERROR(__xludf.DUMMYFUNCTION("GOOGLETRANSLATE(D342)"),"In-depth Java. JEE, MVC, JPA, regex, Generics and more")</f>
        <v>In-depth Java. JEE, MVC, JPA, regex, Generics and more</v>
      </c>
      <c r="F342" s="36" t="s">
        <v>5262</v>
      </c>
      <c r="G342" s="45">
        <v>4.3790727</v>
      </c>
      <c r="H342" s="45">
        <v>39.006943</v>
      </c>
      <c r="I342" s="36" t="s">
        <v>21</v>
      </c>
    </row>
    <row r="343" spans="1:9" ht="12.5">
      <c r="A343" s="41">
        <v>1524862</v>
      </c>
      <c r="B343" s="36" t="s">
        <v>225</v>
      </c>
      <c r="C343" s="36" t="s">
        <v>235</v>
      </c>
      <c r="D343" s="43" t="s">
        <v>5412</v>
      </c>
      <c r="E343" s="44" t="str">
        <f ca="1">IFERROR(__xludf.DUMMYFUNCTION("GOOGLETRANSLATE(D343)"),"Bootstrap 4! 0 to expert! complete course + Forms with PHP")</f>
        <v>Bootstrap 4! 0 to expert! complete course + Forms with PHP</v>
      </c>
      <c r="F343" s="36" t="s">
        <v>5351</v>
      </c>
      <c r="G343" s="45">
        <v>4.7350507000000004</v>
      </c>
      <c r="H343" s="45">
        <v>12.057221999999999</v>
      </c>
      <c r="I343" s="36" t="s">
        <v>21</v>
      </c>
    </row>
    <row r="344" spans="1:9" ht="12.5">
      <c r="A344" s="41">
        <v>467470</v>
      </c>
      <c r="B344" s="36" t="s">
        <v>225</v>
      </c>
      <c r="C344" s="36" t="s">
        <v>235</v>
      </c>
      <c r="D344" s="43" t="s">
        <v>5413</v>
      </c>
      <c r="E344" s="44" t="str">
        <f ca="1">IFERROR(__xludf.DUMMYFUNCTION("GOOGLETRANSLATE(D344)"),"AngularJS - From Hello World to an application (legacy)")</f>
        <v>AngularJS - From Hello World to an application (legacy)</v>
      </c>
      <c r="F344" s="36" t="s">
        <v>5095</v>
      </c>
      <c r="G344" s="45">
        <v>4.7877970000000003</v>
      </c>
      <c r="H344" s="45">
        <v>11.259444</v>
      </c>
      <c r="I344" s="36" t="s">
        <v>21</v>
      </c>
    </row>
    <row r="345" spans="1:9" ht="12.5">
      <c r="A345" s="47">
        <v>650714</v>
      </c>
      <c r="B345" s="36" t="s">
        <v>225</v>
      </c>
      <c r="C345" s="36" t="s">
        <v>235</v>
      </c>
      <c r="D345" s="36" t="s">
        <v>5414</v>
      </c>
      <c r="E345" s="48" t="str">
        <f ca="1">IFERROR(__xludf.DUMMYFUNCTION("GOOGLETRANSLATE(D345)"),"Become a Web Developer from scratch Step by Step")</f>
        <v>Become a Web Developer from scratch Step by Step</v>
      </c>
      <c r="F345" s="36" t="s">
        <v>5415</v>
      </c>
      <c r="G345" s="45">
        <v>4.3963102999999997</v>
      </c>
      <c r="H345" s="45">
        <v>101.77778000000001</v>
      </c>
      <c r="I345" s="36" t="s">
        <v>21</v>
      </c>
    </row>
    <row r="346" spans="1:9" ht="12.5">
      <c r="A346" s="47">
        <v>867948</v>
      </c>
      <c r="B346" s="36" t="s">
        <v>225</v>
      </c>
      <c r="C346" s="36" t="s">
        <v>235</v>
      </c>
      <c r="D346" s="36" t="s">
        <v>5416</v>
      </c>
      <c r="E346" s="48" t="str">
        <f ca="1">IFERROR(__xludf.DUMMYFUNCTION("GOOGLETRANSLATE(D346)"),"Master in JavaScript: ECMAScript, Angular 9+, React, NodeJS")</f>
        <v>Master in JavaScript: ECMAScript, Angular 9+, React, NodeJS</v>
      </c>
      <c r="F346" s="36" t="s">
        <v>5086</v>
      </c>
      <c r="G346" s="45">
        <v>4.5435160000000003</v>
      </c>
      <c r="H346" s="45">
        <v>41.609721999999998</v>
      </c>
      <c r="I346" s="36" t="s">
        <v>21</v>
      </c>
    </row>
    <row r="347" spans="1:9" ht="12.5">
      <c r="A347" s="47">
        <v>1175864</v>
      </c>
      <c r="B347" s="36" t="s">
        <v>225</v>
      </c>
      <c r="C347" s="36" t="s">
        <v>235</v>
      </c>
      <c r="D347" s="36" t="s">
        <v>5417</v>
      </c>
      <c r="E347" s="48" t="str">
        <f ca="1">IFERROR(__xludf.DUMMYFUNCTION("GOOGLETRANSLATE(D347)"),"Vue course JS 2 in Spanish")</f>
        <v>Vue course JS 2 in Spanish</v>
      </c>
      <c r="F347" s="36" t="s">
        <v>5418</v>
      </c>
      <c r="G347" s="45">
        <v>4.6486770000000002</v>
      </c>
      <c r="H347" s="45">
        <v>6.7130549999999998</v>
      </c>
      <c r="I347" s="36" t="s">
        <v>17</v>
      </c>
    </row>
    <row r="348" spans="1:9" ht="12.5">
      <c r="A348" s="47">
        <v>3001852</v>
      </c>
      <c r="B348" s="36" t="s">
        <v>225</v>
      </c>
      <c r="C348" s="36" t="s">
        <v>235</v>
      </c>
      <c r="D348" s="36" t="s">
        <v>5419</v>
      </c>
      <c r="E348" s="48" t="str">
        <f ca="1">IFERROR(__xludf.DUMMYFUNCTION("GOOGLETRANSLATE(D348)"),"Create Marketplace Systems Angle and Firebase Database")</f>
        <v>Create Marketplace Systems Angle and Firebase Database</v>
      </c>
      <c r="F348" s="36" t="s">
        <v>5086</v>
      </c>
      <c r="G348" s="45">
        <v>4.1764913000000004</v>
      </c>
      <c r="H348" s="45">
        <v>84.766660000000002</v>
      </c>
      <c r="I348" s="36" t="s">
        <v>21</v>
      </c>
    </row>
    <row r="349" spans="1:9" ht="12.5">
      <c r="A349" s="41">
        <v>1109106</v>
      </c>
      <c r="B349" s="36" t="s">
        <v>225</v>
      </c>
      <c r="C349" s="36" t="s">
        <v>235</v>
      </c>
      <c r="D349" s="43" t="s">
        <v>5420</v>
      </c>
      <c r="E349" s="44" t="str">
        <f ca="1">IFERROR(__xludf.DUMMYFUNCTION("GOOGLETRANSLATE(D349)"),"RESTful API with laravel: Definitive Guide")</f>
        <v>RESTful API with laravel: Definitive Guide</v>
      </c>
      <c r="F349" s="36" t="s">
        <v>5421</v>
      </c>
      <c r="G349" s="45">
        <v>4.7450194000000003</v>
      </c>
      <c r="H349" s="45">
        <v>14.751944</v>
      </c>
      <c r="I349" s="36" t="s">
        <v>21</v>
      </c>
    </row>
    <row r="350" spans="1:9" ht="12.5">
      <c r="A350" s="47">
        <v>1523568</v>
      </c>
      <c r="B350" s="36" t="s">
        <v>225</v>
      </c>
      <c r="C350" s="36" t="s">
        <v>235</v>
      </c>
      <c r="D350" s="36" t="s">
        <v>5422</v>
      </c>
      <c r="E350" s="48" t="str">
        <f ca="1">IFERROR(__xludf.DUMMYFUNCTION("GOOGLETRANSLATE(D350)"),"Wordpress: Create a website step by step from zero 2020")</f>
        <v>Wordpress: Create a website step by step from zero 2020</v>
      </c>
      <c r="F350" s="36" t="s">
        <v>5423</v>
      </c>
      <c r="G350" s="45">
        <v>4.772246</v>
      </c>
      <c r="H350" s="45">
        <v>8.2280549999999995</v>
      </c>
      <c r="I350" s="36" t="s">
        <v>21</v>
      </c>
    </row>
    <row r="351" spans="1:9" ht="12.5">
      <c r="A351" s="47">
        <v>1184020</v>
      </c>
      <c r="B351" s="36" t="s">
        <v>225</v>
      </c>
      <c r="C351" s="36" t="s">
        <v>235</v>
      </c>
      <c r="D351" s="36" t="s">
        <v>5424</v>
      </c>
      <c r="E351" s="48" t="str">
        <f ca="1">IFERROR(__xludf.DUMMYFUNCTION("GOOGLETRANSLATE(D351)"),"Angular Advanced Course: MEAN, JWT, Modules, Animations")</f>
        <v>Angular Advanced Course: MEAN, JWT, Modules, Animations</v>
      </c>
      <c r="F351" s="36" t="s">
        <v>5131</v>
      </c>
      <c r="G351" s="45">
        <v>4.294797</v>
      </c>
      <c r="H351" s="45">
        <v>16.543887999999999</v>
      </c>
      <c r="I351" s="36" t="s">
        <v>21</v>
      </c>
    </row>
    <row r="352" spans="1:9" ht="12.5">
      <c r="A352" s="41">
        <v>1194892</v>
      </c>
      <c r="B352" s="36" t="s">
        <v>225</v>
      </c>
      <c r="C352" s="36" t="s">
        <v>235</v>
      </c>
      <c r="D352" s="43" t="s">
        <v>5425</v>
      </c>
      <c r="E352" s="44" t="str">
        <f ca="1">IFERROR(__xludf.DUMMYFUNCTION("GOOGLETRANSLATE(D352)"),"Web Design and Development with Bootstrap 4 Includes 8 Projects")</f>
        <v>Web Design and Development with Bootstrap 4 Includes 8 Projects</v>
      </c>
      <c r="F352" s="36" t="s">
        <v>5180</v>
      </c>
      <c r="G352" s="45">
        <v>4.7176856999999996</v>
      </c>
      <c r="H352" s="45">
        <v>18.039165000000001</v>
      </c>
      <c r="I352" s="36" t="s">
        <v>17</v>
      </c>
    </row>
    <row r="353" spans="1:9" ht="12.5">
      <c r="A353" s="47">
        <v>2071191</v>
      </c>
      <c r="B353" s="36" t="s">
        <v>225</v>
      </c>
      <c r="C353" s="36" t="s">
        <v>235</v>
      </c>
      <c r="D353" s="36" t="s">
        <v>5426</v>
      </c>
      <c r="E353" s="48" t="str">
        <f ca="1">IFERROR(__xludf.DUMMYFUNCTION("GOOGLETRANSLATE(D353)"),"Java Masterclass: From zero to hero in record time")</f>
        <v>Java Masterclass: From zero to hero in record time</v>
      </c>
      <c r="F353" s="36" t="s">
        <v>5241</v>
      </c>
      <c r="G353" s="45">
        <v>4.6138019999999997</v>
      </c>
      <c r="H353" s="45">
        <v>68.644720000000007</v>
      </c>
      <c r="I353" s="36" t="s">
        <v>21</v>
      </c>
    </row>
    <row r="354" spans="1:9" ht="12.5">
      <c r="A354" s="47">
        <v>2338870</v>
      </c>
      <c r="B354" s="36" t="s">
        <v>225</v>
      </c>
      <c r="C354" s="36" t="s">
        <v>235</v>
      </c>
      <c r="D354" s="36" t="s">
        <v>5427</v>
      </c>
      <c r="E354" s="48" t="str">
        <f ca="1">IFERROR(__xludf.DUMMYFUNCTION("GOOGLETRANSLATE(D354)"),"Complete Guide GraphQL with Angular 0 to expert.")</f>
        <v>Complete Guide GraphQL with Angular 0 to expert.</v>
      </c>
      <c r="F354" s="36" t="s">
        <v>5428</v>
      </c>
      <c r="G354" s="45">
        <v>4.6358646999999999</v>
      </c>
      <c r="H354" s="45">
        <v>37.004722999999998</v>
      </c>
      <c r="I354" s="36" t="s">
        <v>21</v>
      </c>
    </row>
    <row r="355" spans="1:9" ht="12.5">
      <c r="A355" s="41">
        <v>3213249</v>
      </c>
      <c r="B355" s="36" t="s">
        <v>225</v>
      </c>
      <c r="C355" s="36" t="s">
        <v>235</v>
      </c>
      <c r="D355" s="43" t="s">
        <v>5429</v>
      </c>
      <c r="E355" s="44" t="str">
        <f ca="1">IFERROR(__xludf.DUMMYFUNCTION("GOOGLETRANSLATE(D355)"),"Laravel 7 - Create applications and Web sites with PHP and MVC")</f>
        <v>Laravel 7 - Create applications and Web sites with PHP and MVC</v>
      </c>
      <c r="F355" s="36" t="s">
        <v>5180</v>
      </c>
      <c r="G355" s="45">
        <v>4.6387359999999997</v>
      </c>
      <c r="H355" s="45">
        <v>22.989166000000001</v>
      </c>
      <c r="I355" s="36" t="s">
        <v>72</v>
      </c>
    </row>
    <row r="356" spans="1:9" ht="12.5">
      <c r="A356" s="41">
        <v>378726</v>
      </c>
      <c r="B356" s="36" t="s">
        <v>225</v>
      </c>
      <c r="C356" s="36" t="s">
        <v>235</v>
      </c>
      <c r="D356" s="43" t="s">
        <v>5430</v>
      </c>
      <c r="E356" s="44" t="str">
        <f ca="1">IFERROR(__xludf.DUMMYFUNCTION("GOOGLETRANSLATE(D356)"),"Professional development WordPress Themes and Plugins")</f>
        <v>Professional development WordPress Themes and Plugins</v>
      </c>
      <c r="F356" s="36" t="s">
        <v>5180</v>
      </c>
      <c r="G356" s="45">
        <v>4.5078569999999996</v>
      </c>
      <c r="H356" s="45">
        <v>32.526943000000003</v>
      </c>
      <c r="I356" s="36" t="s">
        <v>21</v>
      </c>
    </row>
    <row r="357" spans="1:9" ht="12.5">
      <c r="A357" s="47">
        <v>949868</v>
      </c>
      <c r="B357" s="36" t="s">
        <v>225</v>
      </c>
      <c r="C357" s="36" t="s">
        <v>235</v>
      </c>
      <c r="D357" s="36" t="s">
        <v>5431</v>
      </c>
      <c r="E357" s="48" t="str">
        <f ca="1">IFERROR(__xludf.DUMMYFUNCTION("GOOGLETRANSLATE(D357)"),"Creating Online Store WordPress and WooCommerce from scratch")</f>
        <v>Creating Online Store WordPress and WooCommerce from scratch</v>
      </c>
      <c r="F357" s="36" t="s">
        <v>5415</v>
      </c>
      <c r="G357" s="45">
        <v>4.2849912999999997</v>
      </c>
      <c r="H357" s="45">
        <v>11.166388</v>
      </c>
      <c r="I357" s="36" t="s">
        <v>21</v>
      </c>
    </row>
    <row r="358" spans="1:9" ht="12.5">
      <c r="A358" s="47">
        <v>2357794</v>
      </c>
      <c r="B358" s="36" t="s">
        <v>225</v>
      </c>
      <c r="C358" s="36" t="s">
        <v>235</v>
      </c>
      <c r="D358" s="36" t="s">
        <v>5432</v>
      </c>
      <c r="E358" s="48" t="str">
        <f ca="1">IFERROR(__xludf.DUMMYFUNCTION("GOOGLETRANSLATE(D358)"),"Web Design Course: HTML and CSS from scratch to advanced.")</f>
        <v>Web Design Course: HTML and CSS from scratch to advanced.</v>
      </c>
      <c r="F358" s="36" t="s">
        <v>5433</v>
      </c>
      <c r="G358" s="45">
        <v>4.261279</v>
      </c>
      <c r="H358" s="45">
        <v>26.976944</v>
      </c>
      <c r="I358" s="36" t="s">
        <v>21</v>
      </c>
    </row>
    <row r="359" spans="1:9" ht="12.5">
      <c r="A359" s="47">
        <v>452264</v>
      </c>
      <c r="B359" s="36" t="s">
        <v>225</v>
      </c>
      <c r="C359" s="36" t="s">
        <v>235</v>
      </c>
      <c r="D359" s="36" t="s">
        <v>5434</v>
      </c>
      <c r="E359" s="48" t="str">
        <f ca="1">IFERROR(__xludf.DUMMYFUNCTION("GOOGLETRANSLATE(D359)"),"jQuery: Zero to progress through practical exercises.")</f>
        <v>jQuery: Zero to progress through practical exercises.</v>
      </c>
      <c r="F359" s="36" t="s">
        <v>5095</v>
      </c>
      <c r="G359" s="45">
        <v>4.5785559999999998</v>
      </c>
      <c r="H359" s="45">
        <v>9.3077769999999997</v>
      </c>
      <c r="I359" s="36" t="s">
        <v>21</v>
      </c>
    </row>
    <row r="360" spans="1:9" ht="12.5">
      <c r="A360" s="47">
        <v>1551656</v>
      </c>
      <c r="B360" s="36" t="s">
        <v>225</v>
      </c>
      <c r="C360" s="36" t="s">
        <v>235</v>
      </c>
      <c r="D360" s="36" t="s">
        <v>5435</v>
      </c>
      <c r="E360" s="48" t="str">
        <f ca="1">IFERROR(__xludf.DUMMYFUNCTION("GOOGLETRANSLATE(D360)"),"Java University 2: Spring, Hibernate, Struts and more (2020)!")</f>
        <v>Java University 2: Spring, Hibernate, Struts and more (2020)!</v>
      </c>
      <c r="F360" s="36" t="s">
        <v>5241</v>
      </c>
      <c r="G360" s="45">
        <v>4.5744575999999997</v>
      </c>
      <c r="H360" s="45">
        <v>18.64611</v>
      </c>
      <c r="I360" s="36" t="s">
        <v>21</v>
      </c>
    </row>
    <row r="361" spans="1:9" ht="12.5">
      <c r="A361" s="41">
        <v>1712652</v>
      </c>
      <c r="B361" s="36" t="s">
        <v>225</v>
      </c>
      <c r="C361" s="36" t="s">
        <v>235</v>
      </c>
      <c r="D361" s="43" t="s">
        <v>5436</v>
      </c>
      <c r="E361" s="44" t="str">
        <f ca="1">IFERROR(__xludf.DUMMYFUNCTION("GOOGLETRANSLATE(D361)"),"Master en webs Full Stack: Angular, Node, Laravel, Symfony +")</f>
        <v>Master en webs Full Stack: Angular, Node, Laravel, Symfony +</v>
      </c>
      <c r="F361" s="36" t="s">
        <v>5131</v>
      </c>
      <c r="G361" s="45">
        <v>4.2224529999999998</v>
      </c>
      <c r="H361" s="45">
        <v>34.568333000000003</v>
      </c>
      <c r="I361" s="36" t="s">
        <v>21</v>
      </c>
    </row>
    <row r="362" spans="1:9" ht="12.5">
      <c r="A362" s="47">
        <v>883398</v>
      </c>
      <c r="B362" s="36" t="s">
        <v>225</v>
      </c>
      <c r="C362" s="36" t="s">
        <v>235</v>
      </c>
      <c r="D362" s="36" t="s">
        <v>5437</v>
      </c>
      <c r="E362" s="48" t="str">
        <f ca="1">IFERROR(__xludf.DUMMYFUNCTION("GOOGLETRANSLATE(D362)"),"Introduction to Oracle APEX 5.0")</f>
        <v>Introduction to Oracle APEX 5.0</v>
      </c>
      <c r="F362" s="36" t="s">
        <v>5438</v>
      </c>
      <c r="G362" s="45">
        <v>4.5578026999999999</v>
      </c>
      <c r="H362" s="45">
        <v>5.2041659999999998</v>
      </c>
      <c r="I362" s="36" t="s">
        <v>17</v>
      </c>
    </row>
    <row r="363" spans="1:9" ht="12.5">
      <c r="A363" s="47">
        <v>1295136</v>
      </c>
      <c r="B363" s="36" t="s">
        <v>225</v>
      </c>
      <c r="C363" s="36" t="s">
        <v>235</v>
      </c>
      <c r="D363" s="36" t="s">
        <v>5439</v>
      </c>
      <c r="E363" s="48" t="str">
        <f ca="1">IFERROR(__xludf.DUMMYFUNCTION("GOOGLETRANSLATE(D363)"),"Angular 4: Become Full Stack Web Developer")</f>
        <v>Angular 4: Become Full Stack Web Developer</v>
      </c>
      <c r="F363" s="36" t="s">
        <v>5440</v>
      </c>
      <c r="G363" s="45">
        <v>4.698156</v>
      </c>
      <c r="H363" s="45">
        <v>10.968332999999999</v>
      </c>
      <c r="I363" s="36" t="s">
        <v>21</v>
      </c>
    </row>
    <row r="364" spans="1:9" ht="12.5">
      <c r="A364" s="47">
        <v>2205298</v>
      </c>
      <c r="B364" s="36" t="s">
        <v>225</v>
      </c>
      <c r="C364" s="36" t="s">
        <v>235</v>
      </c>
      <c r="D364" s="36" t="s">
        <v>5441</v>
      </c>
      <c r="E364" s="48" t="str">
        <f ca="1">IFERROR(__xludf.DUMMYFUNCTION("GOOGLETRANSLATE(D364)"),"Full development MEVN Stack: MongoDB, Express, VueJS and NodeJS")</f>
        <v>Full development MEVN Stack: MongoDB, Express, VueJS and NodeJS</v>
      </c>
      <c r="F364" s="36" t="s">
        <v>5278</v>
      </c>
      <c r="G364" s="45">
        <v>4.5801772999999999</v>
      </c>
      <c r="H364" s="45">
        <v>11.989444000000001</v>
      </c>
      <c r="I364" s="36" t="s">
        <v>21</v>
      </c>
    </row>
    <row r="365" spans="1:9" ht="12.5">
      <c r="A365" s="41">
        <v>2337206</v>
      </c>
      <c r="B365" s="36" t="s">
        <v>225</v>
      </c>
      <c r="C365" s="36" t="s">
        <v>235</v>
      </c>
      <c r="D365" s="43" t="s">
        <v>5442</v>
      </c>
      <c r="E365" s="44" t="str">
        <f ca="1">IFERROR(__xludf.DUMMYFUNCTION("GOOGLETRANSLATE(D365)"),"Purchasing and Billing system with Python using Django")</f>
        <v>Purchasing and Billing system with Python using Django</v>
      </c>
      <c r="F365" s="36" t="s">
        <v>5443</v>
      </c>
      <c r="G365" s="45">
        <v>4.5587225</v>
      </c>
      <c r="H365" s="45">
        <v>19.712499999999999</v>
      </c>
      <c r="I365" s="36" t="s">
        <v>21</v>
      </c>
    </row>
    <row r="366" spans="1:9" ht="12.5">
      <c r="A366" s="47">
        <v>2578792</v>
      </c>
      <c r="B366" s="36" t="s">
        <v>225</v>
      </c>
      <c r="C366" s="36" t="s">
        <v>235</v>
      </c>
      <c r="D366" s="36" t="s">
        <v>5444</v>
      </c>
      <c r="E366" s="48" t="str">
        <f ca="1">IFERROR(__xludf.DUMMYFUNCTION("GOOGLETRANSLATE(D366)"),"Laravel 6 to 8 from zero integration Bootstrap + 4 and Vue")</f>
        <v>Laravel 6 to 8 from zero integration Bootstrap + 4 and Vue</v>
      </c>
      <c r="F366" s="36" t="s">
        <v>5445</v>
      </c>
      <c r="G366" s="45">
        <v>4.4386916000000003</v>
      </c>
      <c r="H366" s="45">
        <v>37.905555999999997</v>
      </c>
      <c r="I366" s="36" t="s">
        <v>17</v>
      </c>
    </row>
    <row r="367" spans="1:9" ht="12.5">
      <c r="A367" s="47">
        <v>970528</v>
      </c>
      <c r="B367" s="36" t="s">
        <v>225</v>
      </c>
      <c r="C367" s="36" t="s">
        <v>235</v>
      </c>
      <c r="D367" s="36" t="s">
        <v>5446</v>
      </c>
      <c r="E367" s="48" t="str">
        <f ca="1">IFERROR(__xludf.DUMMYFUNCTION("GOOGLETRANSLATE(D367)"),"Máster en PHP 7+, POO, MVC, MySQL, Laravel 6+, CodeIgniter 4")</f>
        <v>Máster en PHP 7+, POO, MVC, MySQL, Laravel 6+, CodeIgniter 4</v>
      </c>
      <c r="F367" s="36" t="s">
        <v>5086</v>
      </c>
      <c r="G367" s="45">
        <v>4.6295757000000002</v>
      </c>
      <c r="H367" s="45">
        <v>51.761386999999999</v>
      </c>
      <c r="I367" s="36" t="s">
        <v>21</v>
      </c>
    </row>
    <row r="368" spans="1:9" ht="12.5">
      <c r="A368" s="47">
        <v>1180980</v>
      </c>
      <c r="B368" s="36" t="s">
        <v>225</v>
      </c>
      <c r="C368" s="36" t="s">
        <v>235</v>
      </c>
      <c r="D368" s="36" t="s">
        <v>5447</v>
      </c>
      <c r="E368" s="48" t="str">
        <f ca="1">IFERROR(__xludf.DUMMYFUNCTION("GOOGLETRANSLATE(D368)"),"Complete Course Ruby - from grassroots to Rails")</f>
        <v>Complete Course Ruby - from grassroots to Rails</v>
      </c>
      <c r="F368" s="36" t="s">
        <v>5230</v>
      </c>
      <c r="G368" s="45">
        <v>4.2557735000000001</v>
      </c>
      <c r="H368" s="45">
        <v>10.750833</v>
      </c>
      <c r="I368" s="36" t="s">
        <v>21</v>
      </c>
    </row>
    <row r="369" spans="1:9" ht="12.5">
      <c r="A369" s="47">
        <v>1185096</v>
      </c>
      <c r="B369" s="36" t="s">
        <v>225</v>
      </c>
      <c r="C369" s="36" t="s">
        <v>235</v>
      </c>
      <c r="D369" s="36" t="s">
        <v>5448</v>
      </c>
      <c r="E369" s="48" t="str">
        <f ca="1">IFERROR(__xludf.DUMMYFUNCTION("GOOGLETRANSLATE(D369)"),"Desarrollo Web Spring Framework 4.3 &amp; Hibernate")</f>
        <v>Desarrollo Web Spring Framework 4.3 &amp; Hibernate</v>
      </c>
      <c r="F369" s="36" t="s">
        <v>4918</v>
      </c>
      <c r="G369" s="45">
        <v>3.4017037999999999</v>
      </c>
      <c r="H369" s="45">
        <v>15.017222</v>
      </c>
      <c r="I369" s="36" t="s">
        <v>21</v>
      </c>
    </row>
    <row r="370" spans="1:9" ht="12.5">
      <c r="A370" s="47">
        <v>1467412</v>
      </c>
      <c r="B370" s="36" t="s">
        <v>225</v>
      </c>
      <c r="C370" s="36" t="s">
        <v>235</v>
      </c>
      <c r="D370" s="36" t="s">
        <v>5449</v>
      </c>
      <c r="E370" s="48" t="str">
        <f ca="1">IFERROR(__xludf.DUMMYFUNCTION("GOOGLETRANSLATE(D370)"),"Create Inventory POS sales systems and PHP 7 and AdminLTE")</f>
        <v>Create Inventory POS sales systems and PHP 7 and AdminLTE</v>
      </c>
      <c r="F370" s="36" t="s">
        <v>5086</v>
      </c>
      <c r="G370" s="45">
        <v>4.5511416999999996</v>
      </c>
      <c r="H370" s="45">
        <v>24.806664999999999</v>
      </c>
      <c r="I370" s="36" t="s">
        <v>21</v>
      </c>
    </row>
    <row r="371" spans="1:9" ht="12.5">
      <c r="A371" s="47">
        <v>1322574</v>
      </c>
      <c r="B371" s="36" t="s">
        <v>225</v>
      </c>
      <c r="C371" s="36" t="s">
        <v>235</v>
      </c>
      <c r="D371" s="36" t="s">
        <v>5450</v>
      </c>
      <c r="E371" s="48" t="str">
        <f ca="1">IFERROR(__xludf.DUMMYFUNCTION("GOOGLETRANSLATE(D371)"),"Create Ecommerce systems with PHP 7 and PAYPAL payments PayU")</f>
        <v>Create Ecommerce systems with PHP 7 and PAYPAL payments PayU</v>
      </c>
      <c r="F371" s="36" t="s">
        <v>5086</v>
      </c>
      <c r="G371" s="45">
        <v>4.4795030000000002</v>
      </c>
      <c r="H371" s="45">
        <v>81.600279999999998</v>
      </c>
      <c r="I371" s="36" t="s">
        <v>21</v>
      </c>
    </row>
    <row r="372" spans="1:9" ht="12.5">
      <c r="A372" s="47">
        <v>834866</v>
      </c>
      <c r="B372" s="36" t="s">
        <v>225</v>
      </c>
      <c r="C372" s="36" t="s">
        <v>235</v>
      </c>
      <c r="D372" s="36" t="s">
        <v>5451</v>
      </c>
      <c r="E372" s="48" t="str">
        <f ca="1">IFERROR(__xludf.DUMMYFUNCTION("GOOGLETRANSLATE(D372)"),"Full course Web 2.0 Development")</f>
        <v>Full course Web 2.0 Development</v>
      </c>
      <c r="F372" s="36" t="s">
        <v>5186</v>
      </c>
      <c r="G372" s="45">
        <v>4.5047006999999999</v>
      </c>
      <c r="H372" s="45">
        <v>34.720832999999999</v>
      </c>
      <c r="I372" s="36" t="s">
        <v>21</v>
      </c>
    </row>
    <row r="373" spans="1:9" ht="12.5">
      <c r="A373" s="47">
        <v>1149390</v>
      </c>
      <c r="B373" s="36" t="s">
        <v>225</v>
      </c>
      <c r="C373" s="36" t="s">
        <v>235</v>
      </c>
      <c r="D373" s="36" t="s">
        <v>5452</v>
      </c>
      <c r="E373" s="48" t="str">
        <f ca="1">IFERROR(__xludf.DUMMYFUNCTION("GOOGLETRANSLATE(D373)"),"Web development in PHP systems 7 OOP, MySQL, Jquery Ajax")</f>
        <v>Web development in PHP systems 7 OOP, MySQL, Jquery Ajax</v>
      </c>
      <c r="F373" s="36" t="s">
        <v>5278</v>
      </c>
      <c r="G373" s="45">
        <v>4.4062386</v>
      </c>
      <c r="H373" s="45">
        <v>12.983055</v>
      </c>
      <c r="I373" s="46" t="s">
        <v>21</v>
      </c>
    </row>
    <row r="374" spans="1:9" ht="12.5">
      <c r="A374" s="41">
        <v>2100802</v>
      </c>
      <c r="B374" s="42" t="s">
        <v>225</v>
      </c>
      <c r="C374" s="43" t="s">
        <v>235</v>
      </c>
      <c r="D374" s="43" t="s">
        <v>5453</v>
      </c>
      <c r="E374" s="44" t="str">
        <f ca="1">IFERROR(__xludf.DUMMYFUNCTION("GOOGLETRANSLATE(D374)"),"Bootstrap expert 4 in 7 days (Create a real website)")</f>
        <v>Bootstrap expert 4 in 7 days (Create a real website)</v>
      </c>
      <c r="F374" s="36" t="s">
        <v>5088</v>
      </c>
      <c r="G374" s="45">
        <v>4.904458</v>
      </c>
      <c r="H374" s="45">
        <v>20.835553999999998</v>
      </c>
      <c r="I374" s="46" t="s">
        <v>72</v>
      </c>
    </row>
    <row r="375" spans="1:9" ht="12.5">
      <c r="A375" s="41">
        <v>376402</v>
      </c>
      <c r="B375" s="42" t="s">
        <v>225</v>
      </c>
      <c r="C375" s="43" t="s">
        <v>235</v>
      </c>
      <c r="D375" s="36" t="s">
        <v>5454</v>
      </c>
      <c r="E375" s="48" t="str">
        <f ca="1">IFERROR(__xludf.DUMMYFUNCTION("GOOGLETRANSLATE(D375)"),"Web Development with Spring 4")</f>
        <v>Web Development with Spring 4</v>
      </c>
      <c r="F375" s="36" t="s">
        <v>5455</v>
      </c>
      <c r="G375" s="45">
        <v>4.4891509999999997</v>
      </c>
      <c r="H375" s="45">
        <v>8.9550000000000001</v>
      </c>
      <c r="I375" s="46" t="s">
        <v>259</v>
      </c>
    </row>
    <row r="376" spans="1:9" ht="12.5">
      <c r="A376" s="41">
        <v>1214686</v>
      </c>
      <c r="B376" s="42" t="s">
        <v>225</v>
      </c>
      <c r="C376" s="43" t="s">
        <v>235</v>
      </c>
      <c r="D376" s="36" t="s">
        <v>5456</v>
      </c>
      <c r="E376" s="48" t="str">
        <f ca="1">IFERROR(__xludf.DUMMYFUNCTION("GOOGLETRANSLATE(D376)"),"Angular and NodeJS production - Set up a VPS server")</f>
        <v>Angular and NodeJS production - Set up a VPS server</v>
      </c>
      <c r="F376" s="36" t="s">
        <v>5131</v>
      </c>
      <c r="G376" s="45">
        <v>4.6977640000000003</v>
      </c>
      <c r="H376" s="45">
        <v>1.8852770000000001</v>
      </c>
      <c r="I376" s="46" t="s">
        <v>21</v>
      </c>
    </row>
    <row r="377" spans="1:9" ht="12.5">
      <c r="A377" s="47">
        <v>1220378</v>
      </c>
      <c r="B377" s="36" t="s">
        <v>225</v>
      </c>
      <c r="C377" s="36" t="s">
        <v>235</v>
      </c>
      <c r="D377" s="36" t="s">
        <v>5457</v>
      </c>
      <c r="E377" s="48" t="str">
        <f ca="1">IFERROR(__xludf.DUMMYFUNCTION("GOOGLETRANSLATE(D377)"),"Develop a social network with JavaScript, Angle and NodeJS")</f>
        <v>Develop a social network with JavaScript, Angle and NodeJS</v>
      </c>
      <c r="F377" s="36" t="s">
        <v>5131</v>
      </c>
      <c r="G377" s="45">
        <v>4.3847820000000004</v>
      </c>
      <c r="H377" s="45">
        <v>22.013887</v>
      </c>
      <c r="I377" s="36" t="s">
        <v>21</v>
      </c>
    </row>
    <row r="378" spans="1:9" ht="12.5">
      <c r="A378" s="47">
        <v>1284216</v>
      </c>
      <c r="B378" s="36" t="s">
        <v>225</v>
      </c>
      <c r="C378" s="36" t="s">
        <v>235</v>
      </c>
      <c r="D378" s="36" t="s">
        <v>5458</v>
      </c>
      <c r="E378" s="48" t="str">
        <f ca="1">IFERROR(__xludf.DUMMYFUNCTION("GOOGLETRANSLATE(D378)"),"Laravel course from scratch + APIs and RESTful web Angle")</f>
        <v>Laravel course from scratch + APIs and RESTful web Angle</v>
      </c>
      <c r="F378" s="36" t="s">
        <v>5131</v>
      </c>
      <c r="G378" s="45">
        <v>4.3232717999999997</v>
      </c>
      <c r="H378" s="45">
        <v>16.439164999999999</v>
      </c>
      <c r="I378" s="36" t="s">
        <v>21</v>
      </c>
    </row>
    <row r="379" spans="1:9" ht="12.5">
      <c r="A379" s="41">
        <v>1351182</v>
      </c>
      <c r="B379" s="36" t="s">
        <v>225</v>
      </c>
      <c r="C379" s="36" t="s">
        <v>235</v>
      </c>
      <c r="D379" s="43" t="s">
        <v>5459</v>
      </c>
      <c r="E379" s="44" t="str">
        <f ca="1">IFERROR(__xludf.DUMMYFUNCTION("GOOGLETRANSLATE(D379)"),"Web Project Java JSP, Servlet with MySQL from NetBeans IDE")</f>
        <v>Web Project Java JSP, Servlet with MySQL from NetBeans IDE</v>
      </c>
      <c r="F379" s="36" t="s">
        <v>5460</v>
      </c>
      <c r="G379" s="45">
        <v>4.6295029999999997</v>
      </c>
      <c r="H379" s="45">
        <v>3.578611</v>
      </c>
      <c r="I379" s="36" t="s">
        <v>17</v>
      </c>
    </row>
    <row r="380" spans="1:9" ht="12.5">
      <c r="A380" s="41">
        <v>1524166</v>
      </c>
      <c r="B380" s="36" t="s">
        <v>225</v>
      </c>
      <c r="C380" s="36" t="s">
        <v>235</v>
      </c>
      <c r="D380" s="43" t="s">
        <v>5461</v>
      </c>
      <c r="E380" s="44" t="str">
        <f ca="1">IFERROR(__xludf.DUMMYFUNCTION("GOOGLETRANSLATE(D380)"),"web development Google Web Toolkit - GWT")</f>
        <v>web development Google Web Toolkit - GWT</v>
      </c>
      <c r="F380" s="36" t="s">
        <v>5262</v>
      </c>
      <c r="G380" s="45">
        <v>4.064425</v>
      </c>
      <c r="H380" s="45">
        <v>11.2925</v>
      </c>
      <c r="I380" s="36" t="s">
        <v>21</v>
      </c>
    </row>
    <row r="381" spans="1:9" ht="12.5">
      <c r="A381" s="41">
        <v>1979544</v>
      </c>
      <c r="B381" s="36" t="s">
        <v>225</v>
      </c>
      <c r="C381" s="36" t="s">
        <v>235</v>
      </c>
      <c r="D381" s="43" t="s">
        <v>5462</v>
      </c>
      <c r="E381" s="44" t="str">
        <f ca="1">IFERROR(__xludf.DUMMYFUNCTION("GOOGLETRANSLATE(D381)"),"Vuejs 2 and Vuex from 0 to best practices")</f>
        <v>Vuejs 2 and Vuex from 0 to best practices</v>
      </c>
      <c r="F381" s="36" t="s">
        <v>4924</v>
      </c>
      <c r="G381" s="45">
        <v>4.3633059999999997</v>
      </c>
      <c r="H381" s="45">
        <v>9.4605549999999994</v>
      </c>
      <c r="I381" s="36" t="s">
        <v>21</v>
      </c>
    </row>
    <row r="382" spans="1:9" ht="12.5">
      <c r="A382" s="47">
        <v>976214</v>
      </c>
      <c r="B382" s="36" t="s">
        <v>225</v>
      </c>
      <c r="C382" s="36" t="s">
        <v>235</v>
      </c>
      <c r="D382" s="36" t="s">
        <v>5463</v>
      </c>
      <c r="E382" s="48" t="str">
        <f ca="1">IFERROR(__xludf.DUMMYFUNCTION("GOOGLETRANSLATE(D382)"),"FlexBox course from 0")</f>
        <v>FlexBox course from 0</v>
      </c>
      <c r="F382" s="36" t="s">
        <v>5088</v>
      </c>
      <c r="G382" s="45">
        <v>4.5512785999999998</v>
      </c>
      <c r="H382" s="45">
        <v>1.8102769999999999</v>
      </c>
      <c r="I382" s="36" t="s">
        <v>72</v>
      </c>
    </row>
    <row r="383" spans="1:9" ht="12.5">
      <c r="A383" s="41">
        <v>1381626</v>
      </c>
      <c r="B383" s="36" t="s">
        <v>225</v>
      </c>
      <c r="C383" s="36" t="s">
        <v>235</v>
      </c>
      <c r="D383" s="43" t="s">
        <v>5464</v>
      </c>
      <c r="E383" s="44" t="str">
        <f ca="1">IFERROR(__xludf.DUMMYFUNCTION("GOOGLETRANSLATE(D383)"),"8 modules Drupal development Drupal and updated in September")</f>
        <v>8 modules Drupal development Drupal and updated in September</v>
      </c>
      <c r="F383" s="36" t="s">
        <v>5465</v>
      </c>
      <c r="G383" s="45">
        <v>4.3555983999999999</v>
      </c>
      <c r="H383" s="45">
        <v>8.5661109999999994</v>
      </c>
      <c r="I383" s="36" t="s">
        <v>21</v>
      </c>
    </row>
    <row r="384" spans="1:9" ht="12.5">
      <c r="A384" s="47">
        <v>1690994</v>
      </c>
      <c r="B384" s="36" t="s">
        <v>225</v>
      </c>
      <c r="C384" s="36" t="s">
        <v>235</v>
      </c>
      <c r="D384" s="36" t="s">
        <v>5466</v>
      </c>
      <c r="E384" s="48" t="str">
        <f ca="1">IFERROR(__xludf.DUMMYFUNCTION("GOOGLETRANSLATE(D384)"),"VUE JS 2 - An Introduction to Web Apps")</f>
        <v>VUE JS 2 - An Introduction to Web Apps</v>
      </c>
      <c r="F384" s="36" t="s">
        <v>5467</v>
      </c>
      <c r="G384" s="45">
        <v>3.8632040000000001</v>
      </c>
      <c r="H384" s="45">
        <v>3.328055</v>
      </c>
      <c r="I384" s="36" t="s">
        <v>17</v>
      </c>
    </row>
    <row r="385" spans="1:9" ht="12.5">
      <c r="A385" s="47">
        <v>2311422</v>
      </c>
      <c r="B385" s="36" t="s">
        <v>225</v>
      </c>
      <c r="C385" s="36" t="s">
        <v>235</v>
      </c>
      <c r="D385" s="36" t="s">
        <v>5468</v>
      </c>
      <c r="E385" s="48" t="str">
        <f ca="1">IFERROR(__xludf.DUMMYFUNCTION("GOOGLETRANSLATE(D385)"),"Professional Web Designer. Intermediate to Expert [2020]")</f>
        <v>Professional Web Designer. Intermediate to Expert [2020]</v>
      </c>
      <c r="F385" s="36" t="s">
        <v>5469</v>
      </c>
      <c r="G385" s="45">
        <v>4.7982209999999998</v>
      </c>
      <c r="H385" s="45">
        <v>11.146110999999999</v>
      </c>
      <c r="I385" s="36" t="s">
        <v>259</v>
      </c>
    </row>
    <row r="386" spans="1:9" ht="12.5">
      <c r="A386" s="47">
        <v>57966</v>
      </c>
      <c r="B386" s="36" t="s">
        <v>225</v>
      </c>
      <c r="C386" s="36" t="s">
        <v>235</v>
      </c>
      <c r="D386" s="36" t="s">
        <v>5470</v>
      </c>
      <c r="E386" s="48" t="str">
        <f ca="1">IFERROR(__xludf.DUMMYFUNCTION("GOOGLETRANSLATE(D386)"),"Web development, from novice to expert")</f>
        <v>Web development, from novice to expert</v>
      </c>
      <c r="F386" s="36" t="s">
        <v>5295</v>
      </c>
      <c r="G386" s="45">
        <v>4.5929000000000002</v>
      </c>
      <c r="H386" s="45">
        <v>71.702774000000005</v>
      </c>
      <c r="I386" s="36" t="s">
        <v>21</v>
      </c>
    </row>
    <row r="387" spans="1:9" ht="12.5">
      <c r="A387" s="47">
        <v>1286938</v>
      </c>
      <c r="B387" s="36" t="s">
        <v>225</v>
      </c>
      <c r="C387" s="36" t="s">
        <v>235</v>
      </c>
      <c r="D387" s="36" t="s">
        <v>5471</v>
      </c>
      <c r="E387" s="48" t="str">
        <f ca="1">IFERROR(__xludf.DUMMYFUNCTION("GOOGLETRANSLATE(D387)"),"Advanced jQuery - 100 professional tricks")</f>
        <v>Advanced jQuery - 100 professional tricks</v>
      </c>
      <c r="F387" s="36" t="s">
        <v>5095</v>
      </c>
      <c r="G387" s="45">
        <v>4.7524962000000004</v>
      </c>
      <c r="H387" s="45">
        <v>11.091111</v>
      </c>
      <c r="I387" s="36" t="s">
        <v>72</v>
      </c>
    </row>
    <row r="388" spans="1:9" ht="12.5">
      <c r="A388" s="47">
        <v>2117950</v>
      </c>
      <c r="B388" s="36" t="s">
        <v>225</v>
      </c>
      <c r="C388" s="36" t="s">
        <v>235</v>
      </c>
      <c r="D388" s="36" t="s">
        <v>5472</v>
      </c>
      <c r="E388" s="48" t="str">
        <f ca="1">IFERROR(__xludf.DUMMYFUNCTION("GOOGLETRANSLATE(D388)"),"Javascript design patterns and Node.JS")</f>
        <v>Javascript design patterns and Node.JS</v>
      </c>
      <c r="F388" s="36" t="s">
        <v>5169</v>
      </c>
      <c r="G388" s="45">
        <v>4.5977097000000002</v>
      </c>
      <c r="H388" s="45">
        <v>2.5805549999999999</v>
      </c>
      <c r="I388" s="36" t="s">
        <v>72</v>
      </c>
    </row>
    <row r="389" spans="1:9" ht="12.5">
      <c r="A389" s="47">
        <v>775264</v>
      </c>
      <c r="B389" s="36" t="s">
        <v>225</v>
      </c>
      <c r="C389" s="36" t="s">
        <v>235</v>
      </c>
      <c r="D389" s="36" t="s">
        <v>5473</v>
      </c>
      <c r="E389" s="48" t="str">
        <f ca="1">IFERROR(__xludf.DUMMYFUNCTION("GOOGLETRANSLATE(D389)"),"Creando Restful services PHP-MYSQL (Codeigniter 3)")</f>
        <v>Creando Restful services PHP-MYSQL (Codeigniter 3)</v>
      </c>
      <c r="F389" s="36" t="s">
        <v>5095</v>
      </c>
      <c r="G389" s="45">
        <v>4.7695299999999996</v>
      </c>
      <c r="H389" s="45">
        <v>5.0183330000000002</v>
      </c>
      <c r="I389" s="36" t="s">
        <v>72</v>
      </c>
    </row>
    <row r="390" spans="1:9" ht="12.5">
      <c r="A390" s="47">
        <v>990674</v>
      </c>
      <c r="B390" s="36" t="s">
        <v>225</v>
      </c>
      <c r="C390" s="36" t="s">
        <v>235</v>
      </c>
      <c r="D390" s="36" t="s">
        <v>5474</v>
      </c>
      <c r="E390" s="48" t="str">
        <f ca="1">IFERROR(__xludf.DUMMYFUNCTION("GOOGLETRANSLATE(D390)"),"NodeJS course and Angle - Creates webapps with MEAN Stack")</f>
        <v>NodeJS course and Angle - Creates webapps with MEAN Stack</v>
      </c>
      <c r="F390" s="36" t="s">
        <v>5131</v>
      </c>
      <c r="G390" s="45">
        <v>3.4519479999999998</v>
      </c>
      <c r="H390" s="45">
        <v>14.525833</v>
      </c>
      <c r="I390" s="36" t="s">
        <v>21</v>
      </c>
    </row>
    <row r="391" spans="1:9" ht="12.5">
      <c r="A391" s="47">
        <v>1420540</v>
      </c>
      <c r="B391" s="36" t="s">
        <v>225</v>
      </c>
      <c r="C391" s="36" t="s">
        <v>235</v>
      </c>
      <c r="D391" s="36" t="s">
        <v>5475</v>
      </c>
      <c r="E391" s="48" t="str">
        <f ca="1">IFERROR(__xludf.DUMMYFUNCTION("GOOGLETRANSLATE(D391)"),"Web development Vue js 2 PHP 7 and MariaDB")</f>
        <v>Web development Vue js 2 PHP 7 and MariaDB</v>
      </c>
      <c r="F391" s="36" t="s">
        <v>5226</v>
      </c>
      <c r="G391" s="45">
        <v>4.6751829999999996</v>
      </c>
      <c r="H391" s="45">
        <v>17.610277</v>
      </c>
      <c r="I391" s="46" t="s">
        <v>21</v>
      </c>
    </row>
    <row r="392" spans="1:9" ht="12.5">
      <c r="A392" s="41">
        <v>1531272</v>
      </c>
      <c r="B392" s="42" t="s">
        <v>225</v>
      </c>
      <c r="C392" s="43" t="s">
        <v>235</v>
      </c>
      <c r="D392" s="43" t="s">
        <v>5476</v>
      </c>
      <c r="E392" s="44" t="str">
        <f ca="1">IFERROR(__xludf.DUMMYFUNCTION("GOOGLETRANSLATE(D392)"),"Full course: Learn HTML, CSS and JS from scratch with JB")</f>
        <v>Full course: Learn HTML, CSS and JS from scratch with JB</v>
      </c>
      <c r="F392" s="36" t="s">
        <v>4943</v>
      </c>
      <c r="G392" s="45">
        <v>4.5295480000000001</v>
      </c>
      <c r="H392" s="45">
        <v>21.79861</v>
      </c>
      <c r="I392" s="46" t="s">
        <v>21</v>
      </c>
    </row>
    <row r="393" spans="1:9" ht="12.5">
      <c r="A393" s="41">
        <v>2043988</v>
      </c>
      <c r="B393" s="42" t="s">
        <v>225</v>
      </c>
      <c r="C393" s="43" t="s">
        <v>235</v>
      </c>
      <c r="D393" s="36" t="s">
        <v>5477</v>
      </c>
      <c r="E393" s="48" t="str">
        <f ca="1">IFERROR(__xludf.DUMMYFUNCTION("GOOGLETRANSLATE(D393)"),"Master in Front-End: Create Themes for WordPress, PHP, Angular")</f>
        <v>Master in Front-End: Create Themes for WordPress, PHP, Angular</v>
      </c>
      <c r="F393" s="36" t="s">
        <v>5086</v>
      </c>
      <c r="G393" s="45">
        <v>4.6806130000000001</v>
      </c>
      <c r="H393" s="45">
        <v>30.953610999999999</v>
      </c>
      <c r="I393" s="46" t="s">
        <v>21</v>
      </c>
    </row>
    <row r="394" spans="1:9" ht="12.5">
      <c r="A394" s="41">
        <v>2570310</v>
      </c>
      <c r="B394" s="36" t="s">
        <v>225</v>
      </c>
      <c r="C394" s="36" t="s">
        <v>235</v>
      </c>
      <c r="D394" s="36" t="s">
        <v>5478</v>
      </c>
      <c r="E394" s="48" t="str">
        <f ca="1">IFERROR(__xludf.DUMMYFUNCTION("GOOGLETRANSLATE(D394)"),"Laravel payments processed and best payment platforms")</f>
        <v>Laravel payments processed and best payment platforms</v>
      </c>
      <c r="F394" s="36" t="s">
        <v>5421</v>
      </c>
      <c r="G394" s="45">
        <v>4.5770059999999999</v>
      </c>
      <c r="H394" s="45">
        <v>7.4244440000000003</v>
      </c>
      <c r="I394" s="46" t="s">
        <v>72</v>
      </c>
    </row>
    <row r="395" spans="1:9" ht="12.5">
      <c r="A395" s="41">
        <v>3002270</v>
      </c>
      <c r="B395" s="36" t="s">
        <v>225</v>
      </c>
      <c r="C395" s="36" t="s">
        <v>235</v>
      </c>
      <c r="D395" s="43" t="s">
        <v>5479</v>
      </c>
      <c r="E395" s="44" t="str">
        <f ca="1">IFERROR(__xludf.DUMMYFUNCTION("GOOGLETRANSLATE(D395)"),"Create Marketplace PHP7 Systems and MySQL databases")</f>
        <v>Create Marketplace PHP7 Systems and MySQL databases</v>
      </c>
      <c r="F395" s="36" t="s">
        <v>5086</v>
      </c>
      <c r="G395" s="45">
        <v>4.6410600000000004</v>
      </c>
      <c r="H395" s="45">
        <v>42.605277999999998</v>
      </c>
      <c r="I395" s="46" t="s">
        <v>21</v>
      </c>
    </row>
    <row r="396" spans="1:9" ht="12.5">
      <c r="A396" s="41">
        <v>915556</v>
      </c>
      <c r="B396" s="36" t="s">
        <v>225</v>
      </c>
      <c r="C396" s="36" t="s">
        <v>235</v>
      </c>
      <c r="D396" s="36" t="s">
        <v>5480</v>
      </c>
      <c r="E396" s="48" t="str">
        <f ca="1">IFERROR(__xludf.DUMMYFUNCTION("GOOGLETRANSLATE(D396)"),"Learn jQuery from scratch")</f>
        <v>Learn jQuery from scratch</v>
      </c>
      <c r="F396" s="36" t="s">
        <v>5086</v>
      </c>
      <c r="G396" s="45">
        <v>4.1544632999999997</v>
      </c>
      <c r="H396" s="45">
        <v>8.0730550000000001</v>
      </c>
      <c r="I396" s="46" t="s">
        <v>21</v>
      </c>
    </row>
    <row r="397" spans="1:9" ht="12.5">
      <c r="A397" s="41">
        <v>942960</v>
      </c>
      <c r="B397" s="36" t="s">
        <v>225</v>
      </c>
      <c r="C397" s="36" t="s">
        <v>235</v>
      </c>
      <c r="D397" s="43" t="s">
        <v>5481</v>
      </c>
      <c r="E397" s="44" t="str">
        <f ca="1">IFERROR(__xludf.DUMMYFUNCTION("GOOGLETRANSLATE(D397)"),"Develop a social network with PHP, Symfony3, jQuery and AJAX")</f>
        <v>Develop a social network with PHP, Symfony3, jQuery and AJAX</v>
      </c>
      <c r="F397" s="36" t="s">
        <v>5131</v>
      </c>
      <c r="G397" s="45">
        <v>4.5390825000000001</v>
      </c>
      <c r="H397" s="45">
        <v>14.2425</v>
      </c>
      <c r="I397" s="46" t="s">
        <v>21</v>
      </c>
    </row>
    <row r="398" spans="1:9" ht="12.5">
      <c r="A398" s="41">
        <v>1426148</v>
      </c>
      <c r="B398" s="36" t="s">
        <v>225</v>
      </c>
      <c r="C398" s="36" t="s">
        <v>235</v>
      </c>
      <c r="D398" s="43" t="s">
        <v>5482</v>
      </c>
      <c r="E398" s="44" t="str">
        <f ca="1">IFERROR(__xludf.DUMMYFUNCTION("GOOGLETRANSLATE(D398)"),"Create Java Web Applications. Very complete and From Zero!")</f>
        <v>Create Java Web Applications. Very complete and From Zero!</v>
      </c>
      <c r="F398" s="36" t="s">
        <v>5241</v>
      </c>
      <c r="G398" s="45">
        <v>4.3263980000000002</v>
      </c>
      <c r="H398" s="45">
        <v>51.074722000000001</v>
      </c>
      <c r="I398" s="46" t="s">
        <v>21</v>
      </c>
    </row>
    <row r="399" spans="1:9" ht="12.5">
      <c r="A399" s="41">
        <v>1907864</v>
      </c>
      <c r="B399" s="42" t="s">
        <v>225</v>
      </c>
      <c r="C399" s="43" t="s">
        <v>235</v>
      </c>
      <c r="D399" s="36" t="s">
        <v>5483</v>
      </c>
      <c r="E399" s="48" t="str">
        <f ca="1">IFERROR(__xludf.DUMMYFUNCTION("GOOGLETRANSLATE(D399)"),"Development with Bootstrap WordPress Themes 4 and CMB2")</f>
        <v>Development with Bootstrap WordPress Themes 4 and CMB2</v>
      </c>
      <c r="F399" s="36" t="s">
        <v>5180</v>
      </c>
      <c r="G399" s="45">
        <v>4.081728</v>
      </c>
      <c r="H399" s="45">
        <v>9.4127770000000002</v>
      </c>
      <c r="I399" s="46" t="s">
        <v>21</v>
      </c>
    </row>
    <row r="400" spans="1:9" ht="12.5">
      <c r="A400" s="41">
        <v>2174436</v>
      </c>
      <c r="B400" s="42" t="s">
        <v>225</v>
      </c>
      <c r="C400" s="43" t="s">
        <v>235</v>
      </c>
      <c r="D400" s="43" t="s">
        <v>5484</v>
      </c>
      <c r="E400" s="44" t="str">
        <f ca="1">IFERROR(__xludf.DUMMYFUNCTION("GOOGLETRANSLATE(D400)"),"Basic.Net Visual Systems develops, 4 layers, SQL Server")</f>
        <v>Basic.Net Visual Systems develops, 4 layers, SQL Server</v>
      </c>
      <c r="F400" s="36" t="s">
        <v>5278</v>
      </c>
      <c r="G400" s="45">
        <v>4.5634512999999997</v>
      </c>
      <c r="H400" s="45">
        <v>11.031666</v>
      </c>
      <c r="I400" s="46" t="s">
        <v>21</v>
      </c>
    </row>
    <row r="401" spans="1:9" ht="12.5">
      <c r="A401" s="41">
        <v>2305852</v>
      </c>
      <c r="B401" s="36" t="s">
        <v>225</v>
      </c>
      <c r="C401" s="36" t="s">
        <v>235</v>
      </c>
      <c r="D401" s="43" t="s">
        <v>5485</v>
      </c>
      <c r="E401" s="44" t="str">
        <f ca="1">IFERROR(__xludf.DUMMYFUNCTION("GOOGLETRANSLATE(D401)"),"Create reservation systems and Rental PHP 7 and MercadoPago")</f>
        <v>Create reservation systems and Rental PHP 7 and MercadoPago</v>
      </c>
      <c r="F401" s="36" t="s">
        <v>5086</v>
      </c>
      <c r="G401" s="45">
        <v>4.6413836000000002</v>
      </c>
      <c r="H401" s="45">
        <v>33.848329999999997</v>
      </c>
      <c r="I401" s="46" t="s">
        <v>21</v>
      </c>
    </row>
    <row r="402" spans="1:9" ht="12.5">
      <c r="A402" s="41">
        <v>2381242</v>
      </c>
      <c r="B402" s="36" t="s">
        <v>225</v>
      </c>
      <c r="C402" s="36" t="s">
        <v>235</v>
      </c>
      <c r="D402" s="43" t="s">
        <v>5486</v>
      </c>
      <c r="E402" s="44" t="str">
        <f ca="1">IFERROR(__xludf.DUMMYFUNCTION("GOOGLETRANSLATE(D402)"),"Create systems sales and MLM subscription with PHP-PayPal")</f>
        <v>Create systems sales and MLM subscription with PHP-PayPal</v>
      </c>
      <c r="F402" s="36" t="s">
        <v>5086</v>
      </c>
      <c r="G402" s="45">
        <v>4.6870649999999996</v>
      </c>
      <c r="H402" s="45">
        <v>37.690277000000002</v>
      </c>
      <c r="I402" s="46" t="s">
        <v>21</v>
      </c>
    </row>
    <row r="403" spans="1:9" ht="12.5">
      <c r="A403" s="41">
        <v>535696</v>
      </c>
      <c r="B403" s="42" t="s">
        <v>225</v>
      </c>
      <c r="C403" s="43" t="s">
        <v>235</v>
      </c>
      <c r="D403" s="36" t="s">
        <v>5487</v>
      </c>
      <c r="E403" s="48" t="str">
        <f ca="1">IFERROR(__xludf.DUMMYFUNCTION("GOOGLETRANSLATE(D403)"),"Diseño Web Responsive con Foundation for Sites SASS y XYGrid")</f>
        <v>Diseño Web Responsive con Foundation for Sites SASS y XYGrid</v>
      </c>
      <c r="F403" s="36" t="s">
        <v>5180</v>
      </c>
      <c r="G403" s="45">
        <v>4.9860673000000002</v>
      </c>
      <c r="H403" s="45">
        <v>17.160554999999999</v>
      </c>
      <c r="I403" s="46" t="s">
        <v>21</v>
      </c>
    </row>
    <row r="404" spans="1:9" ht="12.5">
      <c r="A404" s="41">
        <v>1961802</v>
      </c>
      <c r="B404" s="42" t="s">
        <v>225</v>
      </c>
      <c r="C404" s="43" t="s">
        <v>235</v>
      </c>
      <c r="D404" s="36" t="s">
        <v>5488</v>
      </c>
      <c r="E404" s="48" t="str">
        <f ca="1">IFERROR(__xludf.DUMMYFUNCTION("GOOGLETRANSLATE(D404)"),"Microservices Lumen: Create your services and APIs with Lumen")</f>
        <v>Microservices Lumen: Create your services and APIs with Lumen</v>
      </c>
      <c r="F404" s="36" t="s">
        <v>5421</v>
      </c>
      <c r="G404" s="45">
        <v>4.5129313</v>
      </c>
      <c r="H404" s="45">
        <v>4.5374999999999996</v>
      </c>
      <c r="I404" s="46" t="s">
        <v>21</v>
      </c>
    </row>
    <row r="405" spans="1:9" ht="12.5">
      <c r="A405" s="41">
        <v>1969048</v>
      </c>
      <c r="B405" s="42" t="s">
        <v>225</v>
      </c>
      <c r="C405" s="43" t="s">
        <v>235</v>
      </c>
      <c r="D405" s="36" t="s">
        <v>5489</v>
      </c>
      <c r="E405" s="48" t="str">
        <f ca="1">IFERROR(__xludf.DUMMYFUNCTION("GOOGLETRANSLATE(D405)"),"Create Web Page and Virtual Store without programming. 2020.")</f>
        <v>Create Web Page and Virtual Store without programming. 2020.</v>
      </c>
      <c r="F405" s="36" t="s">
        <v>4949</v>
      </c>
      <c r="G405" s="45">
        <v>4.1993194000000003</v>
      </c>
      <c r="H405" s="45">
        <v>2.8272219999999999</v>
      </c>
      <c r="I405" s="46" t="s">
        <v>259</v>
      </c>
    </row>
    <row r="406" spans="1:9" ht="12.5">
      <c r="A406" s="41">
        <v>841242</v>
      </c>
      <c r="B406" s="36" t="s">
        <v>225</v>
      </c>
      <c r="C406" s="36" t="s">
        <v>235</v>
      </c>
      <c r="D406" s="43" t="s">
        <v>5490</v>
      </c>
      <c r="E406" s="44" t="str">
        <f ca="1">IFERROR(__xludf.DUMMYFUNCTION("GOOGLETRANSLATE(D406)"),"Create web pages Responsive Bootstrap 3")</f>
        <v>Create web pages Responsive Bootstrap 3</v>
      </c>
      <c r="F406" s="36" t="s">
        <v>5086</v>
      </c>
      <c r="G406" s="45">
        <v>4.5457143999999996</v>
      </c>
      <c r="H406" s="45">
        <v>3.894444</v>
      </c>
      <c r="I406" s="46" t="s">
        <v>21</v>
      </c>
    </row>
    <row r="407" spans="1:9" ht="12.5">
      <c r="A407" s="47">
        <v>857774</v>
      </c>
      <c r="B407" s="36" t="s">
        <v>225</v>
      </c>
      <c r="C407" s="36" t="s">
        <v>235</v>
      </c>
      <c r="D407" s="36" t="s">
        <v>5491</v>
      </c>
      <c r="E407" s="48" t="str">
        <f ca="1">IFERROR(__xludf.DUMMYFUNCTION("GOOGLETRANSLATE(D407)"),"Blocks Advanced WordPress Post Types and Taxonomies Gutenberg")</f>
        <v>Blocks Advanced WordPress Post Types and Taxonomies Gutenberg</v>
      </c>
      <c r="F407" s="36" t="s">
        <v>5180</v>
      </c>
      <c r="G407" s="45">
        <v>4.7323627000000004</v>
      </c>
      <c r="H407" s="45">
        <v>12.430555</v>
      </c>
      <c r="I407" s="46" t="s">
        <v>259</v>
      </c>
    </row>
    <row r="408" spans="1:9" ht="12.5">
      <c r="A408" s="41">
        <v>1216850</v>
      </c>
      <c r="B408" s="36" t="s">
        <v>225</v>
      </c>
      <c r="C408" s="36" t="s">
        <v>235</v>
      </c>
      <c r="D408" s="36" t="s">
        <v>5492</v>
      </c>
      <c r="E408" s="48" t="str">
        <f ca="1">IFERROR(__xludf.DUMMYFUNCTION("GOOGLETRANSLATE(D408)"),"The most complete WordPress Professional course and updated")</f>
        <v>The most complete WordPress Professional course and updated</v>
      </c>
      <c r="F408" s="36" t="s">
        <v>5493</v>
      </c>
      <c r="G408" s="45">
        <v>3.9136739</v>
      </c>
      <c r="H408" s="45">
        <v>8.7919440000000009</v>
      </c>
      <c r="I408" s="46" t="s">
        <v>21</v>
      </c>
    </row>
    <row r="409" spans="1:9" ht="12.5">
      <c r="A409" s="41">
        <v>1805100</v>
      </c>
      <c r="B409" s="42" t="s">
        <v>225</v>
      </c>
      <c r="C409" s="43" t="s">
        <v>235</v>
      </c>
      <c r="D409" s="36" t="s">
        <v>5494</v>
      </c>
      <c r="E409" s="48" t="str">
        <f ca="1">IFERROR(__xludf.DUMMYFUNCTION("GOOGLETRANSLATE(D409)"),"Laravel y OAuth 2: Login con Facebook, Twitter, Google+, etc")</f>
        <v>Laravel y OAuth 2: Login con Facebook, Twitter, Google+, etc</v>
      </c>
      <c r="F409" s="36" t="s">
        <v>5220</v>
      </c>
      <c r="G409" s="45">
        <v>4.5626389999999999</v>
      </c>
      <c r="H409" s="45">
        <v>6.7922219999999998</v>
      </c>
      <c r="I409" s="46" t="s">
        <v>17</v>
      </c>
    </row>
    <row r="410" spans="1:9" ht="12.5">
      <c r="A410" s="41">
        <v>2111190</v>
      </c>
      <c r="B410" s="42" t="s">
        <v>225</v>
      </c>
      <c r="C410" s="43" t="s">
        <v>235</v>
      </c>
      <c r="D410" s="43" t="s">
        <v>5495</v>
      </c>
      <c r="E410" s="44" t="str">
        <f ca="1">IFERROR(__xludf.DUMMYFUNCTION("GOOGLETRANSLATE(D410)"),"Master in CodeIgniter Bootstrap 3 with 4 and Vue - Desde Cero")</f>
        <v>Master in CodeIgniter Bootstrap 3 with 4 and Vue - Desde Cero</v>
      </c>
      <c r="F410" s="36" t="s">
        <v>5445</v>
      </c>
      <c r="G410" s="45">
        <v>4.217327</v>
      </c>
      <c r="H410" s="45">
        <v>31.424444000000001</v>
      </c>
      <c r="I410" s="46" t="s">
        <v>17</v>
      </c>
    </row>
    <row r="411" spans="1:9" ht="12.5">
      <c r="A411" s="41">
        <v>1118300</v>
      </c>
      <c r="B411" s="42" t="s">
        <v>225</v>
      </c>
      <c r="C411" s="43" t="s">
        <v>235</v>
      </c>
      <c r="D411" s="36" t="s">
        <v>5496</v>
      </c>
      <c r="E411" s="48" t="str">
        <f ca="1">IFERROR(__xludf.DUMMYFUNCTION("GOOGLETRANSLATE(D411)"),"Learn to create plugins for WordPress from scratch to Advanced")</f>
        <v>Learn to create plugins for WordPress from scratch to Advanced</v>
      </c>
      <c r="F411" s="36" t="s">
        <v>5415</v>
      </c>
      <c r="G411" s="45">
        <v>4.6933765000000003</v>
      </c>
      <c r="H411" s="45">
        <v>34.554164999999998</v>
      </c>
      <c r="I411" s="46" t="s">
        <v>72</v>
      </c>
    </row>
    <row r="412" spans="1:9" ht="12.5">
      <c r="A412" s="41">
        <v>1504576</v>
      </c>
      <c r="B412" s="36" t="s">
        <v>225</v>
      </c>
      <c r="C412" s="36" t="s">
        <v>235</v>
      </c>
      <c r="D412" s="43" t="s">
        <v>5497</v>
      </c>
      <c r="E412" s="44" t="str">
        <f ca="1">IFERROR(__xludf.DUMMYFUNCTION("GOOGLETRANSLATE(D412)"),"PHP web development with laravel 5.6, VueJS and MariaDB Mysql")</f>
        <v>PHP web development with laravel 5.6, VueJS and MariaDB Mysql</v>
      </c>
      <c r="F412" s="36" t="s">
        <v>5278</v>
      </c>
      <c r="G412" s="45">
        <v>4.2338509999999996</v>
      </c>
      <c r="H412" s="45">
        <v>18.142220999999999</v>
      </c>
      <c r="I412" s="46" t="s">
        <v>21</v>
      </c>
    </row>
    <row r="413" spans="1:9" ht="12.5">
      <c r="A413" s="41">
        <v>2700942</v>
      </c>
      <c r="B413" s="36" t="s">
        <v>225</v>
      </c>
      <c r="C413" s="36" t="s">
        <v>235</v>
      </c>
      <c r="D413" s="36" t="s">
        <v>5498</v>
      </c>
      <c r="E413" s="48" t="str">
        <f ca="1">IFERROR(__xludf.DUMMYFUNCTION("GOOGLETRANSLATE(D413)"),"Master in RESTful API with PHP 7+, laravel 6+, CodeIgniter 4+")</f>
        <v>Master in RESTful API with PHP 7+, laravel 6+, CodeIgniter 4+</v>
      </c>
      <c r="F413" s="36" t="s">
        <v>5086</v>
      </c>
      <c r="G413" s="45">
        <v>4.7032749999999997</v>
      </c>
      <c r="H413" s="45">
        <v>9.9849999999999994</v>
      </c>
      <c r="I413" s="46" t="s">
        <v>21</v>
      </c>
    </row>
    <row r="414" spans="1:9" ht="12.5">
      <c r="A414" s="41">
        <v>3264424</v>
      </c>
      <c r="B414" s="36" t="s">
        <v>225</v>
      </c>
      <c r="C414" s="36" t="s">
        <v>235</v>
      </c>
      <c r="D414" s="36" t="s">
        <v>5499</v>
      </c>
      <c r="E414" s="48" t="str">
        <f ca="1">IFERROR(__xludf.DUMMYFUNCTION("GOOGLETRANSLATE(D414)"),"Microservicios con ASP.NET Core,Docker y RabbitMQ")</f>
        <v>Microservicios con ASP.NET Core,Docker y RabbitMQ</v>
      </c>
      <c r="F414" s="36" t="s">
        <v>5366</v>
      </c>
      <c r="G414" s="45">
        <v>4.6192336000000003</v>
      </c>
      <c r="H414" s="45">
        <v>13.87</v>
      </c>
      <c r="I414" s="46" t="s">
        <v>259</v>
      </c>
    </row>
    <row r="415" spans="1:9" ht="12.5">
      <c r="A415" s="41">
        <v>3548798</v>
      </c>
      <c r="B415" s="36" t="s">
        <v>225</v>
      </c>
      <c r="C415" s="36" t="s">
        <v>235</v>
      </c>
      <c r="D415" s="36" t="s">
        <v>5500</v>
      </c>
      <c r="E415" s="48" t="str">
        <f ca="1">IFERROR(__xludf.DUMMYFUNCTION("GOOGLETRANSLATE(D415)"),"React: Real-time applications with Socket-io")</f>
        <v>React: Real-time applications with Socket-io</v>
      </c>
      <c r="F415" s="36" t="s">
        <v>5095</v>
      </c>
      <c r="G415" s="45">
        <v>4.8728956999999999</v>
      </c>
      <c r="H415" s="45">
        <v>15.950555</v>
      </c>
      <c r="I415" s="46" t="s">
        <v>72</v>
      </c>
    </row>
    <row r="416" spans="1:9" ht="12.5">
      <c r="A416" s="41">
        <v>1349964</v>
      </c>
      <c r="B416" s="36" t="s">
        <v>225</v>
      </c>
      <c r="C416" s="36" t="s">
        <v>235</v>
      </c>
      <c r="D416" s="43" t="s">
        <v>5501</v>
      </c>
      <c r="E416" s="44" t="str">
        <f ca="1">IFERROR(__xludf.DUMMYFUNCTION("GOOGLETRANSLATE(D416)"),"Laravel learns and develops an online ordering app")</f>
        <v>Laravel learns and develops an online ordering app</v>
      </c>
      <c r="F416" s="36" t="s">
        <v>5220</v>
      </c>
      <c r="G416" s="45">
        <v>4.5418669999999999</v>
      </c>
      <c r="H416" s="45">
        <v>13.737500000000001</v>
      </c>
      <c r="I416" s="46" t="s">
        <v>17</v>
      </c>
    </row>
    <row r="417" spans="1:9" ht="12.5">
      <c r="A417" s="47">
        <v>1595154</v>
      </c>
      <c r="B417" s="36" t="s">
        <v>225</v>
      </c>
      <c r="C417" s="36" t="s">
        <v>235</v>
      </c>
      <c r="D417" s="36" t="s">
        <v>5502</v>
      </c>
      <c r="E417" s="48" t="str">
        <f ca="1">IFERROR(__xludf.DUMMYFUNCTION("GOOGLETRANSLATE(D417)"),"Develop a platform Online courses with laravel 5.6")</f>
        <v>Develop a platform Online courses with laravel 5.6</v>
      </c>
      <c r="F417" s="36" t="s">
        <v>4924</v>
      </c>
      <c r="G417" s="45">
        <v>4.402094</v>
      </c>
      <c r="H417" s="45">
        <v>16.088332999999999</v>
      </c>
      <c r="I417" s="46" t="s">
        <v>21</v>
      </c>
    </row>
    <row r="418" spans="1:9" ht="12.5">
      <c r="A418" s="47">
        <v>356578</v>
      </c>
      <c r="B418" s="36" t="s">
        <v>225</v>
      </c>
      <c r="C418" s="36" t="s">
        <v>235</v>
      </c>
      <c r="D418" s="36" t="s">
        <v>5503</v>
      </c>
      <c r="E418" s="48" t="str">
        <f ca="1">IFERROR(__xludf.DUMMYFUNCTION("GOOGLETRANSLATE(D418)"),"Working with data on the Web")</f>
        <v>Working with data on the Web</v>
      </c>
      <c r="F418" s="36" t="s">
        <v>5295</v>
      </c>
      <c r="G418" s="45">
        <v>4.6323356999999996</v>
      </c>
      <c r="H418" s="45">
        <v>18.239720999999999</v>
      </c>
      <c r="I418" s="36" t="s">
        <v>72</v>
      </c>
    </row>
    <row r="419" spans="1:9" ht="12.5">
      <c r="A419" s="41">
        <v>1682886</v>
      </c>
      <c r="B419" s="42" t="s">
        <v>225</v>
      </c>
      <c r="C419" s="43" t="s">
        <v>235</v>
      </c>
      <c r="D419" s="36" t="s">
        <v>5504</v>
      </c>
      <c r="E419" s="48" t="str">
        <f ca="1">IFERROR(__xludf.DUMMYFUNCTION("GOOGLETRANSLATE(D419)"),"Messenger using Realtime Laravel, Vue Bootstrap 4 Pusher y")</f>
        <v>Messenger using Realtime Laravel, Vue Bootstrap 4 Pusher y</v>
      </c>
      <c r="F419" s="36" t="s">
        <v>5220</v>
      </c>
      <c r="G419" s="45">
        <v>4.5381010000000002</v>
      </c>
      <c r="H419" s="45">
        <v>14.344722000000001</v>
      </c>
      <c r="I419" s="46" t="s">
        <v>72</v>
      </c>
    </row>
    <row r="420" spans="1:9" ht="12.5">
      <c r="A420" s="41">
        <v>2421388</v>
      </c>
      <c r="B420" s="36" t="s">
        <v>225</v>
      </c>
      <c r="C420" s="36" t="s">
        <v>235</v>
      </c>
      <c r="D420" s="36" t="s">
        <v>5505</v>
      </c>
      <c r="E420" s="48" t="str">
        <f ca="1">IFERROR(__xludf.DUMMYFUNCTION("GOOGLETRANSLATE(D420)"),"Creating Professional Web APIs with .NET 2.2 Core 3 and")</f>
        <v>Creating Professional Web APIs with .NET 2.2 Core 3 and</v>
      </c>
      <c r="F420" s="36" t="s">
        <v>5397</v>
      </c>
      <c r="G420" s="45">
        <v>4.5955539999999999</v>
      </c>
      <c r="H420" s="45">
        <v>4.9797219999999998</v>
      </c>
      <c r="I420" s="46" t="s">
        <v>17</v>
      </c>
    </row>
    <row r="421" spans="1:9" ht="12.5">
      <c r="A421" s="47">
        <v>2440844</v>
      </c>
      <c r="B421" s="36" t="s">
        <v>225</v>
      </c>
      <c r="C421" s="36" t="s">
        <v>235</v>
      </c>
      <c r="D421" s="36" t="s">
        <v>5506</v>
      </c>
      <c r="E421" s="48" t="str">
        <f ca="1">IFERROR(__xludf.DUMMYFUNCTION("GOOGLETRANSLATE(D421)"),"JavaScript and SS6: Ultimate JS with Royal Projects")</f>
        <v>JavaScript and SS6: Ultimate JS with Royal Projects</v>
      </c>
      <c r="F421" s="36" t="s">
        <v>5175</v>
      </c>
      <c r="G421" s="45">
        <v>4.505153</v>
      </c>
      <c r="H421" s="45">
        <v>15.931944</v>
      </c>
      <c r="I421" s="46" t="s">
        <v>21</v>
      </c>
    </row>
    <row r="422" spans="1:9" ht="12.5">
      <c r="A422" s="47">
        <v>2756642</v>
      </c>
      <c r="B422" s="36" t="s">
        <v>225</v>
      </c>
      <c r="C422" s="36" t="s">
        <v>235</v>
      </c>
      <c r="D422" s="36" t="s">
        <v>5507</v>
      </c>
      <c r="E422" s="48" t="str">
        <f ca="1">IFERROR(__xludf.DUMMYFUNCTION("GOOGLETRANSLATE(D422)"),"Master en ASP.NET Core 3.1 y 5 MVC - Entity Framework")</f>
        <v>Master en ASP.NET Core 3.1 y 5 MVC - Entity Framework</v>
      </c>
      <c r="F422" s="36" t="s">
        <v>5508</v>
      </c>
      <c r="G422" s="45">
        <v>4.5822263000000003</v>
      </c>
      <c r="H422" s="45">
        <v>12.980555000000001</v>
      </c>
      <c r="I422" s="36" t="s">
        <v>21</v>
      </c>
    </row>
    <row r="423" spans="1:9" ht="12.5">
      <c r="A423" s="41">
        <v>2767652</v>
      </c>
      <c r="B423" s="36" t="s">
        <v>225</v>
      </c>
      <c r="C423" s="36" t="s">
        <v>235</v>
      </c>
      <c r="D423" s="43" t="s">
        <v>5509</v>
      </c>
      <c r="E423" s="44" t="str">
        <f ca="1">IFERROR(__xludf.DUMMYFUNCTION("GOOGLETRANSLATE(D423)"),"Tienda Online: NodeJS + MongoDB + Stripe + GraphQL - MEAN+G")</f>
        <v>Tienda Online: NodeJS + MongoDB + Stripe + GraphQL - MEAN+G</v>
      </c>
      <c r="F423" s="36" t="s">
        <v>5428</v>
      </c>
      <c r="G423" s="45">
        <v>4.7188534999999998</v>
      </c>
      <c r="H423" s="45">
        <v>78.25694</v>
      </c>
      <c r="I423" s="36" t="s">
        <v>72</v>
      </c>
    </row>
    <row r="424" spans="1:9" ht="12.5">
      <c r="A424" s="47">
        <v>1535282</v>
      </c>
      <c r="B424" s="36" t="s">
        <v>225</v>
      </c>
      <c r="C424" s="36" t="s">
        <v>235</v>
      </c>
      <c r="D424" s="36" t="s">
        <v>5510</v>
      </c>
      <c r="E424" s="48" t="str">
        <f ca="1">IFERROR(__xludf.DUMMYFUNCTION("GOOGLETRANSLATE(D424)"),"Plugins for WordPress development with PHP, JS, CSS and HTML")</f>
        <v>Plugins for WordPress development with PHP, JS, CSS and HTML</v>
      </c>
      <c r="F424" s="36" t="s">
        <v>5180</v>
      </c>
      <c r="G424" s="45">
        <v>4.7244815999999998</v>
      </c>
      <c r="H424" s="45">
        <v>5.299722</v>
      </c>
      <c r="I424" s="36" t="s">
        <v>17</v>
      </c>
    </row>
    <row r="425" spans="1:9" ht="12.5">
      <c r="A425" s="41">
        <v>1659962</v>
      </c>
      <c r="B425" s="36" t="s">
        <v>225</v>
      </c>
      <c r="C425" s="36" t="s">
        <v>235</v>
      </c>
      <c r="D425" s="43" t="s">
        <v>5511</v>
      </c>
      <c r="E425" s="44" t="str">
        <f ca="1">IFERROR(__xludf.DUMMYFUNCTION("GOOGLETRANSLATE(D425)"),"Curso de Web Apps Progresivas WEIGHT y Responsive + Angular WEIGHT")</f>
        <v>Curso de Web Apps Progresivas WEIGHT y Responsive + Angular WEIGHT</v>
      </c>
      <c r="F425" s="36" t="s">
        <v>5131</v>
      </c>
      <c r="G425" s="45">
        <v>4.5511280000000003</v>
      </c>
      <c r="H425" s="45">
        <v>3.841666</v>
      </c>
      <c r="I425" s="36" t="s">
        <v>17</v>
      </c>
    </row>
    <row r="426" spans="1:9" ht="12.5">
      <c r="A426" s="47">
        <v>1902716</v>
      </c>
      <c r="B426" s="36" t="s">
        <v>225</v>
      </c>
      <c r="C426" s="36" t="s">
        <v>235</v>
      </c>
      <c r="D426" s="36" t="s">
        <v>5512</v>
      </c>
      <c r="E426" s="48" t="str">
        <f ca="1">IFERROR(__xludf.DUMMYFUNCTION("GOOGLETRANSLATE(D426)"),"Web development with Python using Django for Beginners")</f>
        <v>Web development with Python using Django for Beginners</v>
      </c>
      <c r="F426" s="36" t="s">
        <v>5443</v>
      </c>
      <c r="G426" s="45">
        <v>4.5855836999999999</v>
      </c>
      <c r="H426" s="45">
        <v>12.032500000000001</v>
      </c>
      <c r="I426" s="36" t="s">
        <v>17</v>
      </c>
    </row>
    <row r="427" spans="1:9" ht="12.5">
      <c r="A427" s="47">
        <v>2216784</v>
      </c>
      <c r="B427" s="36" t="s">
        <v>225</v>
      </c>
      <c r="C427" s="36" t="s">
        <v>235</v>
      </c>
      <c r="D427" s="36" t="s">
        <v>5513</v>
      </c>
      <c r="E427" s="48" t="str">
        <f ca="1">IFERROR(__xludf.DUMMYFUNCTION("GOOGLETRANSLATE(D427)"),"RxJS nivel PRO")</f>
        <v>RxJS nivel PRO</v>
      </c>
      <c r="F427" s="36" t="s">
        <v>5403</v>
      </c>
      <c r="G427" s="45">
        <v>4.6732716999999999</v>
      </c>
      <c r="H427" s="45">
        <v>3.9811109999999998</v>
      </c>
      <c r="I427" s="36" t="s">
        <v>21</v>
      </c>
    </row>
    <row r="428" spans="1:9" ht="12.5">
      <c r="A428" s="47">
        <v>2558556</v>
      </c>
      <c r="B428" s="36" t="s">
        <v>225</v>
      </c>
      <c r="C428" s="36" t="s">
        <v>235</v>
      </c>
      <c r="D428" s="36" t="s">
        <v>5514</v>
      </c>
      <c r="E428" s="48" t="str">
        <f ca="1">IFERROR(__xludf.DUMMYFUNCTION("GOOGLETRANSLATE(D428)"),"Angular and Java EE - Become Full Stack Java Developer")</f>
        <v>Angular and Java EE - Become Full Stack Java Developer</v>
      </c>
      <c r="F428" s="36" t="s">
        <v>5241</v>
      </c>
      <c r="G428" s="45">
        <v>4.4945810000000002</v>
      </c>
      <c r="H428" s="45">
        <v>83.05</v>
      </c>
      <c r="I428" s="36" t="s">
        <v>21</v>
      </c>
    </row>
    <row r="429" spans="1:9" ht="12.5">
      <c r="A429" s="47">
        <v>2799754</v>
      </c>
      <c r="B429" s="36" t="s">
        <v>225</v>
      </c>
      <c r="C429" s="36" t="s">
        <v>235</v>
      </c>
      <c r="D429" s="36" t="s">
        <v>5515</v>
      </c>
      <c r="E429" s="48" t="str">
        <f ca="1">IFERROR(__xludf.DUMMYFUNCTION("GOOGLETRANSLATE(D429)"),"JS JS Electron and React: Creating a Spotify")</f>
        <v>JS JS Electron and React: Creating a Spotify</v>
      </c>
      <c r="F429" s="36" t="s">
        <v>5175</v>
      </c>
      <c r="G429" s="45">
        <v>4.4735946999999996</v>
      </c>
      <c r="H429" s="45">
        <v>19.383611999999999</v>
      </c>
      <c r="I429" s="36" t="s">
        <v>21</v>
      </c>
    </row>
    <row r="430" spans="1:9" ht="12.5">
      <c r="A430" s="47">
        <v>2072241</v>
      </c>
      <c r="B430" s="36" t="s">
        <v>225</v>
      </c>
      <c r="C430" s="36" t="s">
        <v>235</v>
      </c>
      <c r="D430" s="36" t="s">
        <v>5516</v>
      </c>
      <c r="E430" s="48" t="str">
        <f ca="1">IFERROR(__xludf.DUMMYFUNCTION("GOOGLETRANSLATE(D430)"),"MASTER IN PHP July 2020! WITH MYSQL AND MUCH MORE! TRAILER HERE.")</f>
        <v>MASTER IN PHP July 2020! WITH MYSQL AND MUCH MORE! TRAILER HERE.</v>
      </c>
      <c r="F430" s="36" t="s">
        <v>5013</v>
      </c>
      <c r="G430" s="45">
        <v>4.7245030000000003</v>
      </c>
      <c r="H430" s="45">
        <v>14.934722000000001</v>
      </c>
      <c r="I430" s="36" t="s">
        <v>21</v>
      </c>
    </row>
    <row r="431" spans="1:9" ht="12.5">
      <c r="A431" s="47">
        <v>3062026</v>
      </c>
      <c r="B431" s="36" t="s">
        <v>225</v>
      </c>
      <c r="C431" s="36" t="s">
        <v>235</v>
      </c>
      <c r="D431" s="36" t="s">
        <v>5517</v>
      </c>
      <c r="E431" s="48" t="str">
        <f ca="1">IFERROR(__xludf.DUMMYFUNCTION("GOOGLETRANSLATE(D431)"),"Create Domina laravel and high level applications with laravel")</f>
        <v>Create Domina laravel and high level applications with laravel</v>
      </c>
      <c r="F431" s="36" t="s">
        <v>5421</v>
      </c>
      <c r="G431" s="45">
        <v>4.5726139999999997</v>
      </c>
      <c r="H431" s="45">
        <v>15.419166000000001</v>
      </c>
      <c r="I431" s="36" t="s">
        <v>21</v>
      </c>
    </row>
    <row r="432" spans="1:9" ht="12.5">
      <c r="A432" s="47">
        <v>932454</v>
      </c>
      <c r="B432" s="36" t="s">
        <v>557</v>
      </c>
      <c r="C432" s="36" t="s">
        <v>561</v>
      </c>
      <c r="D432" s="36" t="s">
        <v>5518</v>
      </c>
      <c r="E432" s="48" t="str">
        <f ca="1">IFERROR(__xludf.DUMMYFUNCTION("GOOGLETRANSLATE(D432)"),"Accounting quick and effective")</f>
        <v>Accounting quick and effective</v>
      </c>
      <c r="F432" s="36" t="s">
        <v>5519</v>
      </c>
      <c r="G432" s="45">
        <v>3.9351707</v>
      </c>
      <c r="H432" s="45">
        <v>2.1280549999999998</v>
      </c>
      <c r="I432" s="36" t="s">
        <v>21</v>
      </c>
    </row>
    <row r="433" spans="1:9" ht="12.5">
      <c r="A433" s="41">
        <v>1840052</v>
      </c>
      <c r="B433" s="36" t="s">
        <v>557</v>
      </c>
      <c r="C433" s="36" t="s">
        <v>561</v>
      </c>
      <c r="D433" s="43" t="s">
        <v>5520</v>
      </c>
      <c r="E433" s="44" t="str">
        <f ca="1">IFERROR(__xludf.DUMMYFUNCTION("GOOGLETRANSLATE(D433)"),"Excel Accounting - Professional Course")</f>
        <v>Excel Accounting - Professional Course</v>
      </c>
      <c r="F433" s="36" t="s">
        <v>5521</v>
      </c>
      <c r="G433" s="45">
        <v>4.5873429999999997</v>
      </c>
      <c r="H433" s="45">
        <v>2.9263880000000002</v>
      </c>
      <c r="I433" s="36" t="s">
        <v>21</v>
      </c>
    </row>
    <row r="434" spans="1:9" ht="12.5">
      <c r="A434" s="47">
        <v>1066626</v>
      </c>
      <c r="B434" s="36" t="s">
        <v>557</v>
      </c>
      <c r="C434" s="36" t="s">
        <v>561</v>
      </c>
      <c r="D434" s="36" t="s">
        <v>5522</v>
      </c>
      <c r="E434" s="48" t="str">
        <f ca="1">IFERROR(__xludf.DUMMYFUNCTION("GOOGLETRANSLATE(D434)"),"Financial Accounting for everyone.")</f>
        <v>Financial Accounting for everyone.</v>
      </c>
      <c r="F434" s="36" t="s">
        <v>5523</v>
      </c>
      <c r="G434" s="45">
        <v>4.4848756999999999</v>
      </c>
      <c r="H434" s="45">
        <v>32.137222000000001</v>
      </c>
      <c r="I434" s="36" t="s">
        <v>72</v>
      </c>
    </row>
    <row r="435" spans="1:9" ht="12.5">
      <c r="A435" s="47">
        <v>1827544</v>
      </c>
      <c r="B435" s="36" t="s">
        <v>557</v>
      </c>
      <c r="C435" s="36" t="s">
        <v>1565</v>
      </c>
      <c r="D435" s="36" t="s">
        <v>5524</v>
      </c>
      <c r="E435" s="48" t="str">
        <f ca="1">IFERROR(__xludf.DUMMYFUNCTION("GOOGLETRANSLATE(D435)"),"Finance Round: Learn using Excel")</f>
        <v>Finance Round: Learn using Excel</v>
      </c>
      <c r="F435" s="36" t="s">
        <v>5525</v>
      </c>
      <c r="G435" s="45">
        <v>4.4021993000000004</v>
      </c>
      <c r="H435" s="45">
        <v>9.1222220000000007</v>
      </c>
      <c r="I435" s="36" t="s">
        <v>17</v>
      </c>
    </row>
    <row r="436" spans="1:9" ht="12.5">
      <c r="A436" s="47">
        <v>1554558</v>
      </c>
      <c r="B436" s="36" t="s">
        <v>557</v>
      </c>
      <c r="C436" s="36" t="s">
        <v>1565</v>
      </c>
      <c r="D436" s="36" t="s">
        <v>5526</v>
      </c>
      <c r="E436" s="48" t="str">
        <f ca="1">IFERROR(__xludf.DUMMYFUNCTION("GOOGLETRANSLATE(D436)"),"Tax for Individuals with annual Statement")</f>
        <v>Tax for Individuals with annual Statement</v>
      </c>
      <c r="F436" s="36" t="s">
        <v>5527</v>
      </c>
      <c r="G436" s="45">
        <v>4.4053339999999999</v>
      </c>
      <c r="H436" s="45">
        <v>6.2755549999999998</v>
      </c>
      <c r="I436" s="36" t="s">
        <v>17</v>
      </c>
    </row>
    <row r="437" spans="1:9" ht="12.5">
      <c r="A437" s="47">
        <v>1170804</v>
      </c>
      <c r="B437" s="36" t="s">
        <v>557</v>
      </c>
      <c r="C437" s="36" t="s">
        <v>1565</v>
      </c>
      <c r="D437" s="36" t="s">
        <v>5528</v>
      </c>
      <c r="E437" s="48" t="str">
        <f ca="1">IFERROR(__xludf.DUMMYFUNCTION("GOOGLETRANSLATE(D437)"),"Introduction to Finance")</f>
        <v>Introduction to Finance</v>
      </c>
      <c r="F437" s="36" t="s">
        <v>5529</v>
      </c>
      <c r="G437" s="45">
        <v>4.5010757000000003</v>
      </c>
      <c r="H437" s="45">
        <v>5.1544439999999998</v>
      </c>
      <c r="I437" s="36" t="s">
        <v>17</v>
      </c>
    </row>
    <row r="438" spans="1:9" ht="12.5">
      <c r="A438" s="41">
        <v>1481896</v>
      </c>
      <c r="B438" s="36" t="s">
        <v>557</v>
      </c>
      <c r="C438" s="36" t="s">
        <v>565</v>
      </c>
      <c r="D438" s="43" t="s">
        <v>5530</v>
      </c>
      <c r="E438" s="44" t="str">
        <f ca="1">IFERROR(__xludf.DUMMYFUNCTION("GOOGLETRANSLATE(D438)"),"corporate financial analysis")</f>
        <v>corporate financial analysis</v>
      </c>
      <c r="F438" s="36" t="s">
        <v>5531</v>
      </c>
      <c r="G438" s="45">
        <v>4.3235726000000003</v>
      </c>
      <c r="H438" s="45">
        <v>6.2361110000000002</v>
      </c>
      <c r="I438" s="36" t="s">
        <v>21</v>
      </c>
    </row>
    <row r="439" spans="1:9" ht="12.5">
      <c r="A439" s="47">
        <v>364034</v>
      </c>
      <c r="B439" s="36" t="s">
        <v>557</v>
      </c>
      <c r="C439" s="36" t="s">
        <v>565</v>
      </c>
      <c r="D439" s="36" t="s">
        <v>5532</v>
      </c>
      <c r="E439" s="48" t="str">
        <f ca="1">IFERROR(__xludf.DUMMYFUNCTION("GOOGLETRANSLATE(D439)"),"Finance and Financial Analysis: Managing Business Insurance")</f>
        <v>Finance and Financial Analysis: Managing Business Insurance</v>
      </c>
      <c r="F439" s="36" t="s">
        <v>5533</v>
      </c>
      <c r="G439" s="45">
        <v>4.4940300000000004</v>
      </c>
      <c r="H439" s="45">
        <v>0.73583299999999996</v>
      </c>
      <c r="I439" s="36" t="s">
        <v>17</v>
      </c>
    </row>
    <row r="440" spans="1:9" ht="12.5">
      <c r="A440" s="41">
        <v>2379722</v>
      </c>
      <c r="B440" s="36" t="s">
        <v>557</v>
      </c>
      <c r="C440" s="36" t="s">
        <v>565</v>
      </c>
      <c r="D440" s="43" t="s">
        <v>5534</v>
      </c>
      <c r="E440" s="44" t="str">
        <f ca="1">IFERROR(__xludf.DUMMYFUNCTION("GOOGLETRANSLATE(D440)"),"Excel Applied to the Financial Analysis")</f>
        <v>Excel Applied to the Financial Analysis</v>
      </c>
      <c r="F440" s="36" t="s">
        <v>5118</v>
      </c>
      <c r="G440" s="45">
        <v>4.5352620000000003</v>
      </c>
      <c r="H440" s="45">
        <v>2.8397220000000001</v>
      </c>
      <c r="I440" s="36" t="s">
        <v>21</v>
      </c>
    </row>
    <row r="441" spans="1:9" ht="12.5">
      <c r="A441" s="47">
        <v>1984698</v>
      </c>
      <c r="B441" s="36" t="s">
        <v>557</v>
      </c>
      <c r="C441" s="36" t="s">
        <v>558</v>
      </c>
      <c r="D441" s="36" t="s">
        <v>5535</v>
      </c>
      <c r="E441" s="48" t="str">
        <f ca="1">IFERROR(__xludf.DUMMYFUNCTION("GOOGLETRANSLATE(D441)"),"Investment in Shares and Stock Market (0 to Advanced)")</f>
        <v>Investment in Shares and Stock Market (0 to Advanced)</v>
      </c>
      <c r="F441" s="36" t="s">
        <v>5536</v>
      </c>
      <c r="G441" s="45">
        <v>4.3735074999999997</v>
      </c>
      <c r="H441" s="45">
        <v>3.065833</v>
      </c>
      <c r="I441" s="36" t="s">
        <v>21</v>
      </c>
    </row>
    <row r="442" spans="1:9" ht="12.5">
      <c r="A442" s="47">
        <v>1582274</v>
      </c>
      <c r="B442" s="36" t="s">
        <v>557</v>
      </c>
      <c r="C442" s="36" t="s">
        <v>558</v>
      </c>
      <c r="D442" s="36" t="s">
        <v>5537</v>
      </c>
      <c r="E442" s="48" t="str">
        <f ca="1">IFERROR(__xludf.DUMMYFUNCTION("GOOGLETRANSLATE(D442)"),"Investing in the stock market: Introduction to Technical Analysis")</f>
        <v>Investing in the stock market: Introduction to Technical Analysis</v>
      </c>
      <c r="F442" s="36" t="s">
        <v>5538</v>
      </c>
      <c r="G442" s="45">
        <v>4.4701405000000003</v>
      </c>
      <c r="H442" s="45">
        <v>4.2213880000000001</v>
      </c>
      <c r="I442" s="36" t="s">
        <v>17</v>
      </c>
    </row>
    <row r="443" spans="1:9" ht="12.5">
      <c r="A443" s="47">
        <v>1261088</v>
      </c>
      <c r="B443" s="36" t="s">
        <v>557</v>
      </c>
      <c r="C443" s="36" t="s">
        <v>558</v>
      </c>
      <c r="D443" s="36" t="s">
        <v>5539</v>
      </c>
      <c r="E443" s="48" t="str">
        <f ca="1">IFERROR(__xludf.DUMMYFUNCTION("GOOGLETRANSLATE(D443)"),"Bitcoin: Learn to use, receive, send, buy and sell.")</f>
        <v>Bitcoin: Learn to use, receive, send, buy and sell.</v>
      </c>
      <c r="F443" s="36" t="s">
        <v>5099</v>
      </c>
      <c r="G443" s="45">
        <v>4.6265270000000003</v>
      </c>
      <c r="H443" s="45">
        <v>2.1724999999999999</v>
      </c>
      <c r="I443" s="36" t="s">
        <v>17</v>
      </c>
    </row>
    <row r="444" spans="1:9" ht="12.5">
      <c r="A444" s="47">
        <v>1737068</v>
      </c>
      <c r="B444" s="36" t="s">
        <v>557</v>
      </c>
      <c r="C444" s="36" t="s">
        <v>558</v>
      </c>
      <c r="D444" s="36" t="s">
        <v>5540</v>
      </c>
      <c r="E444" s="48" t="str">
        <f ca="1">IFERROR(__xludf.DUMMYFUNCTION("GOOGLETRANSLATE(D444)"),"full course equity")</f>
        <v>full course equity</v>
      </c>
      <c r="F444" s="36" t="s">
        <v>5541</v>
      </c>
      <c r="G444" s="45">
        <v>4.3757780000000004</v>
      </c>
      <c r="H444" s="45">
        <v>42.283332999999999</v>
      </c>
      <c r="I444" s="36" t="s">
        <v>21</v>
      </c>
    </row>
    <row r="445" spans="1:9" ht="12.5">
      <c r="A445" s="41">
        <v>1572996</v>
      </c>
      <c r="B445" s="36" t="s">
        <v>557</v>
      </c>
      <c r="C445" s="36" t="s">
        <v>558</v>
      </c>
      <c r="D445" s="43" t="s">
        <v>5542</v>
      </c>
      <c r="E445" s="44" t="str">
        <f ca="1">IFERROR(__xludf.DUMMYFUNCTION("GOOGLETRANSLATE(D445)"),"Initial course Criptomonedas and trading: Bitcoin ETH TRX")</f>
        <v>Initial course Criptomonedas and trading: Bitcoin ETH TRX</v>
      </c>
      <c r="F445" s="36" t="s">
        <v>5305</v>
      </c>
      <c r="G445" s="45">
        <v>4.3254275</v>
      </c>
      <c r="H445" s="45">
        <v>1.8763879999999999</v>
      </c>
      <c r="I445" s="36" t="s">
        <v>17</v>
      </c>
    </row>
    <row r="446" spans="1:9" ht="12.5">
      <c r="A446" s="47">
        <v>1909300</v>
      </c>
      <c r="B446" s="36" t="s">
        <v>557</v>
      </c>
      <c r="C446" s="36" t="s">
        <v>558</v>
      </c>
      <c r="D446" s="36" t="s">
        <v>5543</v>
      </c>
      <c r="E446" s="48" t="str">
        <f ca="1">IFERROR(__xludf.DUMMYFUNCTION("GOOGLETRANSLATE(D446)"),"Investing in [FOREX] and STOCKS - 0 Expert (16hrs)")</f>
        <v>Investing in [FOREX] and STOCKS - 0 Expert (16hrs)</v>
      </c>
      <c r="F446" s="36" t="s">
        <v>5544</v>
      </c>
      <c r="G446" s="45">
        <v>4.476871</v>
      </c>
      <c r="H446" s="45">
        <v>16.623611</v>
      </c>
      <c r="I446" s="36" t="s">
        <v>21</v>
      </c>
    </row>
    <row r="447" spans="1:9" ht="12.5">
      <c r="A447" s="41">
        <v>1907758</v>
      </c>
      <c r="B447" s="36" t="s">
        <v>557</v>
      </c>
      <c r="C447" s="36" t="s">
        <v>558</v>
      </c>
      <c r="D447" s="43" t="s">
        <v>5545</v>
      </c>
      <c r="E447" s="44" t="str">
        <f ca="1">IFERROR(__xludf.DUMMYFUNCTION("GOOGLETRANSLATE(D447)"),"Trading with Elliott Wave")</f>
        <v>Trading with Elliott Wave</v>
      </c>
      <c r="F447" s="36" t="s">
        <v>5538</v>
      </c>
      <c r="G447" s="45">
        <v>4.3702816999999996</v>
      </c>
      <c r="H447" s="45">
        <v>3.0997219999999999</v>
      </c>
      <c r="I447" s="36" t="s">
        <v>21</v>
      </c>
    </row>
    <row r="448" spans="1:9" ht="12.5">
      <c r="A448" s="41">
        <v>2508466</v>
      </c>
      <c r="B448" s="36" t="s">
        <v>557</v>
      </c>
      <c r="C448" s="36" t="s">
        <v>558</v>
      </c>
      <c r="D448" s="43" t="s">
        <v>5546</v>
      </c>
      <c r="E448" s="44" t="str">
        <f ca="1">IFERROR(__xludf.DUMMYFUNCTION("GOOGLETRANSLATE(D448)"),"Blockchain: Includes Bitcoin and develop your cryptocurrency")</f>
        <v>Blockchain: Includes Bitcoin and develop your cryptocurrency</v>
      </c>
      <c r="F448" s="36" t="s">
        <v>5547</v>
      </c>
      <c r="G448" s="45">
        <v>4.513719</v>
      </c>
      <c r="H448" s="45">
        <v>5.538888</v>
      </c>
      <c r="I448" s="36" t="s">
        <v>21</v>
      </c>
    </row>
    <row r="449" spans="1:9" ht="12.5">
      <c r="A449" s="41">
        <v>1507980</v>
      </c>
      <c r="B449" s="36" t="s">
        <v>557</v>
      </c>
      <c r="C449" s="36" t="s">
        <v>558</v>
      </c>
      <c r="D449" s="43" t="s">
        <v>5548</v>
      </c>
      <c r="E449" s="44" t="str">
        <f ca="1">IFERROR(__xludf.DUMMYFUNCTION("GOOGLETRANSLATE(D449)"),"full course of Bitcoin, the Blockchain era has arrived.")</f>
        <v>full course of Bitcoin, the Blockchain era has arrived.</v>
      </c>
      <c r="F449" s="36" t="s">
        <v>5549</v>
      </c>
      <c r="G449" s="45">
        <v>3.6690719999999999</v>
      </c>
      <c r="H449" s="45">
        <v>3.291944</v>
      </c>
      <c r="I449" s="36" t="s">
        <v>21</v>
      </c>
    </row>
    <row r="450" spans="1:9" ht="12.5">
      <c r="A450" s="41">
        <v>1540218</v>
      </c>
      <c r="B450" s="36" t="s">
        <v>557</v>
      </c>
      <c r="C450" s="36" t="s">
        <v>558</v>
      </c>
      <c r="D450" s="43" t="s">
        <v>5550</v>
      </c>
      <c r="E450" s="44" t="str">
        <f ca="1">IFERROR(__xludf.DUMMYFUNCTION("GOOGLETRANSLATE(D450)"),"BIM Enterprise. Methodology Introduction to BIM")</f>
        <v>BIM Enterprise. Methodology Introduction to BIM</v>
      </c>
      <c r="F450" s="36" t="s">
        <v>5031</v>
      </c>
      <c r="G450" s="45">
        <v>4.5994096000000004</v>
      </c>
      <c r="H450" s="45">
        <v>2.7805550000000001</v>
      </c>
      <c r="I450" s="36" t="s">
        <v>21</v>
      </c>
    </row>
    <row r="451" spans="1:9" ht="12.5">
      <c r="A451" s="47">
        <v>1281800</v>
      </c>
      <c r="B451" s="36" t="s">
        <v>597</v>
      </c>
      <c r="C451" s="36" t="s">
        <v>649</v>
      </c>
      <c r="D451" s="36" t="s">
        <v>5551</v>
      </c>
      <c r="E451" s="48" t="str">
        <f ca="1">IFERROR(__xludf.DUMMYFUNCTION("GOOGLETRANSLATE(D451)"),"Oracle Management Database")</f>
        <v>Oracle Management Database</v>
      </c>
      <c r="F451" s="36" t="s">
        <v>4961</v>
      </c>
      <c r="G451" s="45">
        <v>4.6497297</v>
      </c>
      <c r="H451" s="45">
        <v>21.662500000000001</v>
      </c>
      <c r="I451" s="36" t="s">
        <v>21</v>
      </c>
    </row>
    <row r="452" spans="1:9" ht="12.5">
      <c r="A452" s="47">
        <v>1357160</v>
      </c>
      <c r="B452" s="36" t="s">
        <v>597</v>
      </c>
      <c r="C452" s="36" t="s">
        <v>649</v>
      </c>
      <c r="D452" s="36" t="s">
        <v>5552</v>
      </c>
      <c r="E452" s="48" t="str">
        <f ca="1">IFERROR(__xludf.DUMMYFUNCTION("GOOGLETRANSLATE(D452)"),"Learn Microsoft Access to background")</f>
        <v>Learn Microsoft Access to background</v>
      </c>
      <c r="F452" s="36" t="s">
        <v>5553</v>
      </c>
      <c r="G452" s="45">
        <v>4.4517139999999999</v>
      </c>
      <c r="H452" s="45">
        <v>4.4788880000000004</v>
      </c>
      <c r="I452" s="36" t="s">
        <v>21</v>
      </c>
    </row>
    <row r="453" spans="1:9" ht="12.5">
      <c r="A453" s="47">
        <v>2148064</v>
      </c>
      <c r="B453" s="36" t="s">
        <v>597</v>
      </c>
      <c r="C453" s="36" t="s">
        <v>1636</v>
      </c>
      <c r="D453" s="36" t="s">
        <v>5554</v>
      </c>
      <c r="E453" s="48" t="str">
        <f ca="1">IFERROR(__xludf.DUMMYFUNCTION("GOOGLETRANSLATE(D453)"),"Design Thinking | Zero to MAESTRO")</f>
        <v>Design Thinking | Zero to MAESTRO</v>
      </c>
      <c r="F453" s="36" t="s">
        <v>4951</v>
      </c>
      <c r="G453" s="45">
        <v>4.3684779999999996</v>
      </c>
      <c r="H453" s="45">
        <v>1.8088880000000001</v>
      </c>
      <c r="I453" s="36" t="s">
        <v>21</v>
      </c>
    </row>
    <row r="454" spans="1:9" ht="12.5">
      <c r="A454" s="47">
        <v>1876348</v>
      </c>
      <c r="B454" s="36" t="s">
        <v>597</v>
      </c>
      <c r="C454" s="36" t="s">
        <v>1636</v>
      </c>
      <c r="D454" s="36" t="s">
        <v>5555</v>
      </c>
      <c r="E454" s="48" t="str">
        <f ca="1">IFERROR(__xludf.DUMMYFUNCTION("GOOGLETRANSLATE(D454)"),"MASTER IN 2020 INCLUDES ARDUINO IoT! INTERNET OF THINGS!")</f>
        <v>MASTER IN 2020 INCLUDES ARDUINO IoT! INTERNET OF THINGS!</v>
      </c>
      <c r="F454" s="36" t="s">
        <v>5013</v>
      </c>
      <c r="G454" s="45">
        <v>4.4516673000000004</v>
      </c>
      <c r="H454" s="45">
        <v>17.337499999999999</v>
      </c>
      <c r="I454" s="36" t="s">
        <v>21</v>
      </c>
    </row>
    <row r="455" spans="1:9" ht="12.5">
      <c r="A455" s="47">
        <v>2656292</v>
      </c>
      <c r="B455" s="36" t="s">
        <v>597</v>
      </c>
      <c r="C455" s="36" t="s">
        <v>1636</v>
      </c>
      <c r="D455" s="36" t="s">
        <v>5556</v>
      </c>
      <c r="E455" s="48" t="str">
        <f ca="1">IFERROR(__xludf.DUMMYFUNCTION("GOOGLETRANSLATE(D455)"),"Computer Repair Course From Zero")</f>
        <v>Computer Repair Course From Zero</v>
      </c>
      <c r="F455" s="36" t="s">
        <v>5557</v>
      </c>
      <c r="G455" s="45">
        <v>4.6058373000000001</v>
      </c>
      <c r="H455" s="45">
        <v>5.1783330000000003</v>
      </c>
      <c r="I455" s="36" t="s">
        <v>17</v>
      </c>
    </row>
    <row r="456" spans="1:9" ht="12.5">
      <c r="A456" s="47">
        <v>1379334</v>
      </c>
      <c r="B456" s="36" t="s">
        <v>597</v>
      </c>
      <c r="C456" s="36" t="s">
        <v>1636</v>
      </c>
      <c r="D456" s="36" t="s">
        <v>5558</v>
      </c>
      <c r="E456" s="48" t="str">
        <f ca="1">IFERROR(__xludf.DUMMYFUNCTION("GOOGLETRANSLATE(D456)"),"Internet of Things: an introduction to the connected world")</f>
        <v>Internet of Things: an introduction to the connected world</v>
      </c>
      <c r="F456" s="36" t="s">
        <v>4943</v>
      </c>
      <c r="G456" s="45">
        <v>4.6567980000000002</v>
      </c>
      <c r="H456" s="45">
        <v>5.9783330000000001</v>
      </c>
      <c r="I456" s="36" t="s">
        <v>17</v>
      </c>
    </row>
    <row r="457" spans="1:9" ht="12.5">
      <c r="A457" s="41">
        <v>2412880</v>
      </c>
      <c r="B457" s="36" t="s">
        <v>597</v>
      </c>
      <c r="C457" s="36" t="s">
        <v>1636</v>
      </c>
      <c r="D457" s="36" t="s">
        <v>5559</v>
      </c>
      <c r="E457" s="48" t="str">
        <f ca="1">IFERROR(__xludf.DUMMYFUNCTION("GOOGLETRANSLATE(D457)"),"IOT MASTERCLASS 2020! Preparing for the great revolution!")</f>
        <v>IOT MASTERCLASS 2020! Preparing for the great revolution!</v>
      </c>
      <c r="F457" s="36" t="s">
        <v>5013</v>
      </c>
      <c r="G457" s="45">
        <v>4.5430380000000001</v>
      </c>
      <c r="H457" s="45">
        <v>13.438611</v>
      </c>
      <c r="I457" s="36" t="s">
        <v>21</v>
      </c>
    </row>
    <row r="458" spans="1:9" ht="12.5">
      <c r="A458" s="41">
        <v>2655054</v>
      </c>
      <c r="B458" s="36" t="s">
        <v>597</v>
      </c>
      <c r="C458" s="36" t="s">
        <v>1636</v>
      </c>
      <c r="D458" s="43" t="s">
        <v>5560</v>
      </c>
      <c r="E458" s="44" t="str">
        <f ca="1">IFERROR(__xludf.DUMMYFUNCTION("GOOGLETRANSLATE(D458)"),"Maintenance and repair of computer equipment from Scratch")</f>
        <v>Maintenance and repair of computer equipment from Scratch</v>
      </c>
      <c r="F458" s="36" t="s">
        <v>5561</v>
      </c>
      <c r="G458" s="45">
        <v>4.2921120000000004</v>
      </c>
      <c r="H458" s="45">
        <v>10.136944</v>
      </c>
      <c r="I458" s="36" t="s">
        <v>17</v>
      </c>
    </row>
    <row r="459" spans="1:9" ht="12.5">
      <c r="A459" s="41">
        <v>3013160</v>
      </c>
      <c r="B459" s="36" t="s">
        <v>597</v>
      </c>
      <c r="C459" s="36" t="s">
        <v>1636</v>
      </c>
      <c r="D459" s="43" t="s">
        <v>5562</v>
      </c>
      <c r="E459" s="44" t="str">
        <f ca="1">IFERROR(__xludf.DUMMYFUNCTION("GOOGLETRANSLATE(D459)"),"Masterclass Arduino, electronics and programming from scratch")</f>
        <v>Masterclass Arduino, electronics and programming from scratch</v>
      </c>
      <c r="F459" s="36" t="s">
        <v>5563</v>
      </c>
      <c r="G459" s="45">
        <v>4.6951539999999996</v>
      </c>
      <c r="H459" s="45">
        <v>12.134166</v>
      </c>
      <c r="I459" s="36" t="s">
        <v>17</v>
      </c>
    </row>
    <row r="460" spans="1:9" ht="12.5">
      <c r="A460" s="47">
        <v>1518934</v>
      </c>
      <c r="B460" s="36" t="s">
        <v>597</v>
      </c>
      <c r="C460" s="36" t="s">
        <v>601</v>
      </c>
      <c r="D460" s="36" t="s">
        <v>5564</v>
      </c>
      <c r="E460" s="48" t="str">
        <f ca="1">IFERROR(__xludf.DUMMYFUNCTION("GOOGLETRANSLATE(D460)"),"Amazon AWS Certified Solutions Architect Complete Course")</f>
        <v>Amazon AWS Certified Solutions Architect Complete Course</v>
      </c>
      <c r="F460" s="36" t="s">
        <v>4920</v>
      </c>
      <c r="G460" s="45">
        <v>4.3021390000000004</v>
      </c>
      <c r="H460" s="45">
        <v>11.373611</v>
      </c>
      <c r="I460" s="36" t="s">
        <v>21</v>
      </c>
    </row>
    <row r="461" spans="1:9" ht="12.5">
      <c r="A461" s="47">
        <v>3378794</v>
      </c>
      <c r="B461" s="36" t="s">
        <v>597</v>
      </c>
      <c r="C461" s="36" t="s">
        <v>601</v>
      </c>
      <c r="D461" s="36" t="s">
        <v>5565</v>
      </c>
      <c r="E461" s="48" t="str">
        <f ca="1">IFERROR(__xludf.DUMMYFUNCTION("GOOGLETRANSLATE(D461)"),"Map User Stories - User Story Mapping Workshop")</f>
        <v>Map User Stories - User Story Mapping Workshop</v>
      </c>
      <c r="F461" s="36" t="s">
        <v>5566</v>
      </c>
      <c r="G461" s="45">
        <v>4.3017329999999996</v>
      </c>
      <c r="H461" s="45">
        <v>1.385</v>
      </c>
      <c r="I461" s="36" t="s">
        <v>72</v>
      </c>
    </row>
    <row r="462" spans="1:9" ht="12.5">
      <c r="A462" s="47">
        <v>1821562</v>
      </c>
      <c r="B462" s="36" t="s">
        <v>597</v>
      </c>
      <c r="C462" s="36" t="s">
        <v>601</v>
      </c>
      <c r="D462" s="36" t="s">
        <v>5567</v>
      </c>
      <c r="E462" s="48" t="str">
        <f ca="1">IFERROR(__xludf.DUMMYFUNCTION("GOOGLETRANSLATE(D462)"),"Cisco CCNA Networking Basics for IP Networks")</f>
        <v>Cisco CCNA Networking Basics for IP Networks</v>
      </c>
      <c r="F462" s="36" t="s">
        <v>5568</v>
      </c>
      <c r="G462" s="45">
        <v>4.7410183000000004</v>
      </c>
      <c r="H462" s="45">
        <v>15.0425</v>
      </c>
      <c r="I462" s="36" t="s">
        <v>17</v>
      </c>
    </row>
    <row r="463" spans="1:9" ht="12.5">
      <c r="A463" s="47">
        <v>2498290</v>
      </c>
      <c r="B463" s="36" t="s">
        <v>597</v>
      </c>
      <c r="C463" s="36" t="s">
        <v>601</v>
      </c>
      <c r="D463" s="36" t="s">
        <v>5569</v>
      </c>
      <c r="E463" s="48" t="str">
        <f ca="1">IFERROR(__xludf.DUMMYFUNCTION("GOOGLETRANSLATE(D463)"),"LPIC-1: Linux Administrator. EXAM 101")</f>
        <v>LPIC-1: Linux Administrator. EXAM 101</v>
      </c>
      <c r="F463" s="36" t="s">
        <v>5570</v>
      </c>
      <c r="G463" s="45">
        <v>4.7260494</v>
      </c>
      <c r="H463" s="45">
        <v>18.058610000000002</v>
      </c>
      <c r="I463" s="36" t="s">
        <v>72</v>
      </c>
    </row>
    <row r="464" spans="1:9" ht="12.5">
      <c r="A464" s="47">
        <v>2491126</v>
      </c>
      <c r="B464" s="36" t="s">
        <v>597</v>
      </c>
      <c r="C464" s="36" t="s">
        <v>601</v>
      </c>
      <c r="D464" s="36" t="s">
        <v>5571</v>
      </c>
      <c r="E464" s="48" t="str">
        <f ca="1">IFERROR(__xludf.DUMMYFUNCTION("GOOGLETRANSLATE(D464)"),"✔ Administration Office 365")</f>
        <v>✔ Administration Office 365</v>
      </c>
      <c r="F464" s="36" t="s">
        <v>4931</v>
      </c>
      <c r="G464" s="45">
        <v>4.4769610000000002</v>
      </c>
      <c r="H464" s="45">
        <v>12.792776999999999</v>
      </c>
      <c r="I464" s="36" t="s">
        <v>21</v>
      </c>
    </row>
    <row r="465" spans="1:9" ht="12.5">
      <c r="A465" s="47">
        <v>1429164</v>
      </c>
      <c r="B465" s="36" t="s">
        <v>597</v>
      </c>
      <c r="C465" s="36" t="s">
        <v>601</v>
      </c>
      <c r="D465" s="36" t="s">
        <v>5572</v>
      </c>
      <c r="E465" s="48" t="str">
        <f ca="1">IFERROR(__xludf.DUMMYFUNCTION("GOOGLETRANSLATE(D465)"),"Course Java Programmer Certificate I")</f>
        <v>Course Java Programmer Certificate I</v>
      </c>
      <c r="F465" s="36" t="s">
        <v>5573</v>
      </c>
      <c r="G465" s="45">
        <v>4.5112480000000001</v>
      </c>
      <c r="H465" s="45">
        <v>6.9122219999999999</v>
      </c>
      <c r="I465" s="36" t="s">
        <v>72</v>
      </c>
    </row>
    <row r="466" spans="1:9" ht="12.5">
      <c r="A466" s="47">
        <v>1630138</v>
      </c>
      <c r="B466" s="36" t="s">
        <v>597</v>
      </c>
      <c r="C466" s="36" t="s">
        <v>601</v>
      </c>
      <c r="D466" s="36" t="s">
        <v>5574</v>
      </c>
      <c r="E466" s="48" t="str">
        <f ca="1">IFERROR(__xludf.DUMMYFUNCTION("GOOGLETRANSLATE(D466)"),"Administration Database With SQL Server 70-764")</f>
        <v>Administration Database With SQL Server 70-764</v>
      </c>
      <c r="F466" s="36" t="s">
        <v>4941</v>
      </c>
      <c r="G466" s="45">
        <v>4.5837617000000002</v>
      </c>
      <c r="H466" s="45">
        <v>8.3597219999999997</v>
      </c>
      <c r="I466" s="36" t="s">
        <v>72</v>
      </c>
    </row>
    <row r="467" spans="1:9" ht="12.5">
      <c r="A467" s="41">
        <v>1265998</v>
      </c>
      <c r="B467" s="42" t="s">
        <v>597</v>
      </c>
      <c r="C467" s="43" t="s">
        <v>601</v>
      </c>
      <c r="D467" s="36" t="s">
        <v>5575</v>
      </c>
      <c r="E467" s="48" t="str">
        <f ca="1">IFERROR(__xludf.DUMMYFUNCTION("GOOGLETRANSLATE(D467)"),"System Center Configuration Manager MECM SCCM Current Branch")</f>
        <v>System Center Configuration Manager MECM SCCM Current Branch</v>
      </c>
      <c r="F467" s="36" t="s">
        <v>5576</v>
      </c>
      <c r="G467" s="45">
        <v>4.4346766000000004</v>
      </c>
      <c r="H467" s="45">
        <v>13.522221999999999</v>
      </c>
      <c r="I467" s="46" t="s">
        <v>21</v>
      </c>
    </row>
    <row r="468" spans="1:9" ht="12.5">
      <c r="A468" s="41">
        <v>1852884</v>
      </c>
      <c r="B468" s="36" t="s">
        <v>597</v>
      </c>
      <c r="C468" s="36" t="s">
        <v>601</v>
      </c>
      <c r="D468" s="36" t="s">
        <v>5577</v>
      </c>
      <c r="E468" s="48" t="str">
        <f ca="1">IFERROR(__xludf.DUMMYFUNCTION("GOOGLETRANSLATE(D468)"),"Zabbix - from beginner to expert")</f>
        <v>Zabbix - from beginner to expert</v>
      </c>
      <c r="F468" s="36" t="s">
        <v>5578</v>
      </c>
      <c r="G468" s="45">
        <v>4.3116630000000002</v>
      </c>
      <c r="H468" s="45">
        <v>16.598611999999999</v>
      </c>
      <c r="I468" s="46" t="s">
        <v>21</v>
      </c>
    </row>
    <row r="469" spans="1:9" ht="12.5">
      <c r="A469" s="41">
        <v>1061676</v>
      </c>
      <c r="B469" s="42" t="s">
        <v>597</v>
      </c>
      <c r="C469" s="43" t="s">
        <v>601</v>
      </c>
      <c r="D469" s="36" t="s">
        <v>5579</v>
      </c>
      <c r="E469" s="48" t="str">
        <f ca="1">IFERROR(__xludf.DUMMYFUNCTION("GOOGLETRANSLATE(D469)"),"Cisco CCNA 200-125 in Spanish: Certificate Ya!")</f>
        <v>Cisco CCNA 200-125 in Spanish: Certificate Ya!</v>
      </c>
      <c r="F469" s="36" t="s">
        <v>5580</v>
      </c>
      <c r="G469" s="45">
        <v>4.4324016999999998</v>
      </c>
      <c r="H469" s="45">
        <v>13.171388</v>
      </c>
      <c r="I469" s="46" t="s">
        <v>21</v>
      </c>
    </row>
    <row r="470" spans="1:9" ht="12.5">
      <c r="A470" s="41">
        <v>816466</v>
      </c>
      <c r="B470" s="42" t="s">
        <v>597</v>
      </c>
      <c r="C470" s="43" t="s">
        <v>601</v>
      </c>
      <c r="D470" s="36" t="s">
        <v>5581</v>
      </c>
      <c r="E470" s="48" t="str">
        <f ca="1">IFERROR(__xludf.DUMMYFUNCTION("GOOGLETRANSLATE(D470)"),"Microsoft Excel: Course for Official Certification 77-420")</f>
        <v>Microsoft Excel: Course for Official Certification 77-420</v>
      </c>
      <c r="F470" s="36" t="s">
        <v>5582</v>
      </c>
      <c r="G470" s="45">
        <v>4.4284990000000004</v>
      </c>
      <c r="H470" s="45">
        <v>4.9663880000000002</v>
      </c>
      <c r="I470" s="46" t="s">
        <v>72</v>
      </c>
    </row>
    <row r="471" spans="1:9" ht="12.5">
      <c r="A471" s="47">
        <v>1343536</v>
      </c>
      <c r="B471" s="42" t="s">
        <v>597</v>
      </c>
      <c r="C471" s="36" t="s">
        <v>601</v>
      </c>
      <c r="D471" s="36" t="s">
        <v>5583</v>
      </c>
      <c r="E471" s="48" t="str">
        <f ca="1">IFERROR(__xludf.DUMMYFUNCTION("GOOGLETRANSLATE(D471)"),"Training for Certification of Red Hat RHCSA")</f>
        <v>Training for Certification of Red Hat RHCSA</v>
      </c>
      <c r="F471" s="36" t="s">
        <v>5578</v>
      </c>
      <c r="G471" s="45">
        <v>4.5937104</v>
      </c>
      <c r="H471" s="45">
        <v>20.584444000000001</v>
      </c>
      <c r="I471" s="46" t="s">
        <v>72</v>
      </c>
    </row>
    <row r="472" spans="1:9" ht="12.5">
      <c r="A472" s="47">
        <v>1547228</v>
      </c>
      <c r="B472" s="36" t="s">
        <v>597</v>
      </c>
      <c r="C472" s="36" t="s">
        <v>601</v>
      </c>
      <c r="D472" s="36" t="s">
        <v>5584</v>
      </c>
      <c r="E472" s="48" t="str">
        <f ca="1">IFERROR(__xludf.DUMMYFUNCTION("GOOGLETRANSLATE(D472)"),"Course Cisco IP addressing and subnetting - CCNA")</f>
        <v>Course Cisco IP addressing and subnetting - CCNA</v>
      </c>
      <c r="F472" s="36" t="s">
        <v>5568</v>
      </c>
      <c r="G472" s="45">
        <v>4.7567810000000001</v>
      </c>
      <c r="H472" s="45">
        <v>3.4013879999999999</v>
      </c>
      <c r="I472" s="46" t="s">
        <v>72</v>
      </c>
    </row>
    <row r="473" spans="1:9" ht="12.5">
      <c r="A473" s="47">
        <v>2350032</v>
      </c>
      <c r="B473" s="36" t="s">
        <v>597</v>
      </c>
      <c r="C473" s="36" t="s">
        <v>601</v>
      </c>
      <c r="D473" s="36" t="s">
        <v>5585</v>
      </c>
      <c r="E473" s="48" t="str">
        <f ca="1">IFERROR(__xludf.DUMMYFUNCTION("GOOGLETRANSLATE(D473)"),"Certificate in Linux LPIC-1.Aprende linux from 0 to expert.")</f>
        <v>Certificate in Linux LPIC-1.Aprende linux from 0 to expert.</v>
      </c>
      <c r="F473" s="36" t="s">
        <v>4949</v>
      </c>
      <c r="G473" s="45">
        <v>4.1766047000000004</v>
      </c>
      <c r="H473" s="45">
        <v>10.249444</v>
      </c>
      <c r="I473" s="46" t="s">
        <v>21</v>
      </c>
    </row>
    <row r="474" spans="1:9" ht="12.5">
      <c r="A474" s="47">
        <v>844176</v>
      </c>
      <c r="B474" s="36" t="s">
        <v>597</v>
      </c>
      <c r="C474" s="36" t="s">
        <v>601</v>
      </c>
      <c r="D474" s="36" t="s">
        <v>5586</v>
      </c>
      <c r="E474" s="48" t="str">
        <f ca="1">IFERROR(__xludf.DUMMYFUNCTION("GOOGLETRANSLATE(D474)"),"Cisco CCNA 200-301 - Spanish Practices configuration")</f>
        <v>Cisco CCNA 200-301 - Spanish Practices configuration</v>
      </c>
      <c r="F474" s="36" t="s">
        <v>5587</v>
      </c>
      <c r="G474" s="45">
        <v>3.8215395999999999</v>
      </c>
      <c r="H474" s="45">
        <v>8.7208330000000007</v>
      </c>
      <c r="I474" s="36" t="s">
        <v>17</v>
      </c>
    </row>
    <row r="475" spans="1:9" ht="12.5">
      <c r="A475" s="47">
        <v>3088340</v>
      </c>
      <c r="B475" s="36" t="s">
        <v>597</v>
      </c>
      <c r="C475" s="36" t="s">
        <v>601</v>
      </c>
      <c r="D475" s="36" t="s">
        <v>5588</v>
      </c>
      <c r="E475" s="48" t="str">
        <f ca="1">IFERROR(__xludf.DUMMYFUNCTION("GOOGLETRANSLATE(D475)"),"LPIC-1: Linux Administrator. EXAM 102")</f>
        <v>LPIC-1: Linux Administrator. EXAM 102</v>
      </c>
      <c r="F475" s="36" t="s">
        <v>5570</v>
      </c>
      <c r="G475" s="45">
        <v>4.6582192999999998</v>
      </c>
      <c r="H475" s="45">
        <v>17.14</v>
      </c>
      <c r="I475" s="46" t="s">
        <v>72</v>
      </c>
    </row>
    <row r="476" spans="1:9" ht="12.5">
      <c r="A476" s="41">
        <v>1546244</v>
      </c>
      <c r="B476" s="42" t="s">
        <v>597</v>
      </c>
      <c r="C476" s="43" t="s">
        <v>601</v>
      </c>
      <c r="D476" s="36" t="s">
        <v>5589</v>
      </c>
      <c r="E476" s="48" t="str">
        <f ca="1">IFERROR(__xludf.DUMMYFUNCTION("GOOGLETRANSLATE(D476)"),"Development of databases with SQL Server - 70-762")</f>
        <v>Development of databases with SQL Server - 70-762</v>
      </c>
      <c r="F476" s="36" t="s">
        <v>4941</v>
      </c>
      <c r="G476" s="45">
        <v>4.3491564</v>
      </c>
      <c r="H476" s="45">
        <v>19.211110999999999</v>
      </c>
      <c r="I476" s="46" t="s">
        <v>72</v>
      </c>
    </row>
    <row r="477" spans="1:9" ht="12.5">
      <c r="A477" s="41">
        <v>659170</v>
      </c>
      <c r="B477" s="36" t="s">
        <v>597</v>
      </c>
      <c r="C477" s="36" t="s">
        <v>601</v>
      </c>
      <c r="D477" s="36" t="s">
        <v>5590</v>
      </c>
      <c r="E477" s="48" t="str">
        <f ca="1">IFERROR(__xludf.DUMMYFUNCTION("GOOGLETRANSLATE(D477)"),"CCNP SWITCH 300-115 in Spanish")</f>
        <v>CCNP SWITCH 300-115 in Spanish</v>
      </c>
      <c r="F477" s="36" t="s">
        <v>5591</v>
      </c>
      <c r="G477" s="45">
        <v>4.0844154000000001</v>
      </c>
      <c r="H477" s="45">
        <v>4.6830550000000004</v>
      </c>
      <c r="I477" s="46" t="s">
        <v>259</v>
      </c>
    </row>
    <row r="478" spans="1:9" ht="12.5">
      <c r="A478" s="41">
        <v>1350012</v>
      </c>
      <c r="B478" s="42" t="s">
        <v>597</v>
      </c>
      <c r="C478" s="43" t="s">
        <v>601</v>
      </c>
      <c r="D478" s="36" t="s">
        <v>5592</v>
      </c>
      <c r="E478" s="48" t="str">
        <f ca="1">IFERROR(__xludf.DUMMYFUNCTION("GOOGLETRANSLATE(D478)"),"Training for Certification of Red Hat RHCE")</f>
        <v>Training for Certification of Red Hat RHCE</v>
      </c>
      <c r="F478" s="36" t="s">
        <v>5578</v>
      </c>
      <c r="G478" s="45">
        <v>4.8707113</v>
      </c>
      <c r="H478" s="45">
        <v>11.058055</v>
      </c>
      <c r="I478" s="46" t="s">
        <v>72</v>
      </c>
    </row>
    <row r="479" spans="1:9" ht="12.5">
      <c r="A479" s="41">
        <v>1918630</v>
      </c>
      <c r="B479" s="42" t="s">
        <v>597</v>
      </c>
      <c r="C479" s="43" t="s">
        <v>601</v>
      </c>
      <c r="D479" s="36" t="s">
        <v>5593</v>
      </c>
      <c r="E479" s="48" t="str">
        <f ca="1">IFERROR(__xludf.DUMMYFUNCTION("GOOGLETRANSLATE(D479)"),"Road to Certification - Reloaded")</f>
        <v>Road to Certification - Reloaded</v>
      </c>
      <c r="F479" s="36" t="s">
        <v>5578</v>
      </c>
      <c r="G479" s="45">
        <v>4.8013988000000003</v>
      </c>
      <c r="H479" s="45">
        <v>19.148053999999998</v>
      </c>
      <c r="I479" s="46" t="s">
        <v>17</v>
      </c>
    </row>
    <row r="480" spans="1:9" ht="12.5">
      <c r="A480" s="41">
        <v>2594210</v>
      </c>
      <c r="B480" s="36" t="s">
        <v>597</v>
      </c>
      <c r="C480" s="36" t="s">
        <v>601</v>
      </c>
      <c r="D480" s="36" t="s">
        <v>5594</v>
      </c>
      <c r="E480" s="48" t="str">
        <f ca="1">IFERROR(__xludf.DUMMYFUNCTION("GOOGLETRANSLATE(D480)"),"Scrum Product Owner: Simulation &amp; Study Material")</f>
        <v>Scrum Product Owner: Simulation &amp; Study Material</v>
      </c>
      <c r="F480" s="36" t="s">
        <v>5595</v>
      </c>
      <c r="G480" s="45">
        <v>4.4135695000000004</v>
      </c>
      <c r="H480" s="49"/>
      <c r="I480" s="46" t="s">
        <v>21</v>
      </c>
    </row>
    <row r="481" spans="1:9" ht="12.5">
      <c r="A481" s="41">
        <v>2075320</v>
      </c>
      <c r="B481" s="42" t="s">
        <v>597</v>
      </c>
      <c r="C481" s="43" t="s">
        <v>601</v>
      </c>
      <c r="D481" s="36" t="s">
        <v>5596</v>
      </c>
      <c r="E481" s="48" t="str">
        <f ca="1">IFERROR(__xludf.DUMMYFUNCTION("GOOGLETRANSLATE(D481)"),"SQL Server Integration Services (SSIS) from 0 to Expert")</f>
        <v>SQL Server Integration Services (SSIS) from 0 to Expert</v>
      </c>
      <c r="F481" s="36" t="s">
        <v>5597</v>
      </c>
      <c r="G481" s="45">
        <v>4.6576104000000003</v>
      </c>
      <c r="H481" s="45">
        <v>17.591944000000002</v>
      </c>
      <c r="I481" s="46" t="s">
        <v>21</v>
      </c>
    </row>
    <row r="482" spans="1:9" ht="12.5">
      <c r="A482" s="41">
        <v>2912068</v>
      </c>
      <c r="B482" s="36" t="s">
        <v>597</v>
      </c>
      <c r="C482" s="36" t="s">
        <v>601</v>
      </c>
      <c r="D482" s="36" t="s">
        <v>5598</v>
      </c>
      <c r="E482" s="48" t="str">
        <f ca="1">IFERROR(__xludf.DUMMYFUNCTION("GOOGLETRANSLATE(D482)"),"Cisco CCNA 200-301 in Spanish + Simulator Questions!")</f>
        <v>Cisco CCNA 200-301 in Spanish + Simulator Questions!</v>
      </c>
      <c r="F482" s="36" t="s">
        <v>5580</v>
      </c>
      <c r="G482" s="45">
        <v>4.6480180000000004</v>
      </c>
      <c r="H482" s="45">
        <v>11.339166000000001</v>
      </c>
      <c r="I482" s="46" t="s">
        <v>21</v>
      </c>
    </row>
    <row r="483" spans="1:9" ht="12.5">
      <c r="A483" s="41">
        <v>1266732</v>
      </c>
      <c r="B483" s="42" t="s">
        <v>597</v>
      </c>
      <c r="C483" s="43" t="s">
        <v>598</v>
      </c>
      <c r="D483" s="36" t="s">
        <v>5599</v>
      </c>
      <c r="E483" s="48" t="str">
        <f ca="1">IFERROR(__xludf.DUMMYFUNCTION("GOOGLETRANSLATE(D483)"),"Full course of Ethical Hacking")</f>
        <v>Full course of Ethical Hacking</v>
      </c>
      <c r="F483" s="36" t="s">
        <v>5600</v>
      </c>
      <c r="G483" s="45">
        <v>4.490405</v>
      </c>
      <c r="H483" s="45">
        <v>25.576387</v>
      </c>
      <c r="I483" s="46" t="s">
        <v>21</v>
      </c>
    </row>
    <row r="484" spans="1:9" ht="12.5">
      <c r="A484" s="41">
        <v>2432892</v>
      </c>
      <c r="B484" s="36" t="s">
        <v>597</v>
      </c>
      <c r="C484" s="36" t="s">
        <v>598</v>
      </c>
      <c r="D484" s="36" t="s">
        <v>5601</v>
      </c>
      <c r="E484" s="48" t="str">
        <f ca="1">IFERROR(__xludf.DUMMYFUNCTION("GOOGLETRANSLATE(D484)"),"Master in Computer Security. 0 to expert. 2020.")</f>
        <v>Master in Computer Security. 0 to expert. 2020.</v>
      </c>
      <c r="F484" s="36" t="s">
        <v>5602</v>
      </c>
      <c r="G484" s="45">
        <v>4.4916390000000002</v>
      </c>
      <c r="H484" s="45">
        <v>17.878332</v>
      </c>
      <c r="I484" s="46" t="s">
        <v>21</v>
      </c>
    </row>
    <row r="485" spans="1:9" ht="12.5">
      <c r="A485" s="41">
        <v>3370412</v>
      </c>
      <c r="B485" s="36" t="s">
        <v>597</v>
      </c>
      <c r="C485" s="36" t="s">
        <v>598</v>
      </c>
      <c r="D485" s="36" t="s">
        <v>5603</v>
      </c>
      <c r="E485" s="48" t="str">
        <f ca="1">IFERROR(__xludf.DUMMYFUNCTION("GOOGLETRANSLATE(D485)"),"Hacking University. Everything in cybersecurity. 0 to expert.")</f>
        <v>Hacking University. Everything in cybersecurity. 0 to expert.</v>
      </c>
      <c r="F485" s="36" t="s">
        <v>5604</v>
      </c>
      <c r="G485" s="45">
        <v>4.5706009999999999</v>
      </c>
      <c r="H485" s="45">
        <v>22.720278</v>
      </c>
      <c r="I485" s="46" t="s">
        <v>21</v>
      </c>
    </row>
    <row r="486" spans="1:9" ht="12.5">
      <c r="A486" s="41">
        <v>1326196</v>
      </c>
      <c r="B486" s="42" t="s">
        <v>597</v>
      </c>
      <c r="C486" s="43" t="s">
        <v>598</v>
      </c>
      <c r="D486" s="36" t="s">
        <v>5605</v>
      </c>
      <c r="E486" s="48" t="str">
        <f ca="1">IFERROR(__xludf.DUMMYFUNCTION("GOOGLETRANSLATE(D486)"),"Professional Ethical Hacking - Fundamentals")</f>
        <v>Professional Ethical Hacking - Fundamentals</v>
      </c>
      <c r="F486" s="36" t="s">
        <v>5606</v>
      </c>
      <c r="G486" s="45">
        <v>4.6655455000000003</v>
      </c>
      <c r="H486" s="45">
        <v>6.4649999999999999</v>
      </c>
      <c r="I486" s="46" t="s">
        <v>17</v>
      </c>
    </row>
    <row r="487" spans="1:9" ht="12.5">
      <c r="A487" s="47">
        <v>2451226</v>
      </c>
      <c r="B487" s="36" t="s">
        <v>597</v>
      </c>
      <c r="C487" s="36" t="s">
        <v>598</v>
      </c>
      <c r="D487" s="36" t="s">
        <v>5607</v>
      </c>
      <c r="E487" s="48" t="str">
        <f ca="1">IFERROR(__xludf.DUMMYFUNCTION("GOOGLETRANSLATE(D487)"),"Networks learn from Zero: Complete Course")</f>
        <v>Networks learn from Zero: Complete Course</v>
      </c>
      <c r="F487" s="36" t="s">
        <v>5608</v>
      </c>
      <c r="G487" s="45">
        <v>4.6083626999999998</v>
      </c>
      <c r="H487" s="45">
        <v>6.8872220000000004</v>
      </c>
      <c r="I487" s="36" t="s">
        <v>17</v>
      </c>
    </row>
    <row r="488" spans="1:9" ht="12.5">
      <c r="A488" s="47">
        <v>1004588</v>
      </c>
      <c r="B488" s="36" t="s">
        <v>597</v>
      </c>
      <c r="C488" s="36" t="s">
        <v>598</v>
      </c>
      <c r="D488" s="36" t="s">
        <v>5609</v>
      </c>
      <c r="E488" s="48" t="str">
        <f ca="1">IFERROR(__xludf.DUMMYFUNCTION("GOOGLETRANSLATE(D488)"),"Hiperconvergencia with Nutanix: Installation and Configuration")</f>
        <v>Hiperconvergencia with Nutanix: Installation and Configuration</v>
      </c>
      <c r="F488" s="36" t="s">
        <v>5610</v>
      </c>
      <c r="G488" s="45">
        <v>4.0987730000000004</v>
      </c>
      <c r="H488" s="45">
        <v>8.76</v>
      </c>
      <c r="I488" s="46" t="s">
        <v>21</v>
      </c>
    </row>
    <row r="489" spans="1:9" ht="12.5">
      <c r="A489" s="41">
        <v>1831040</v>
      </c>
      <c r="B489" s="42" t="s">
        <v>597</v>
      </c>
      <c r="C489" s="43" t="s">
        <v>598</v>
      </c>
      <c r="D489" s="36" t="s">
        <v>5611</v>
      </c>
      <c r="E489" s="48" t="str">
        <f ca="1">IFERROR(__xludf.DUMMYFUNCTION("GOOGLETRANSLATE(D489)"),"Offensive Cyber ​​Security: Hacking and Pentesting with PowerShell")</f>
        <v>Offensive Cyber ​​Security: Hacking and Pentesting with PowerShell</v>
      </c>
      <c r="F489" s="36" t="s">
        <v>5612</v>
      </c>
      <c r="G489" s="45">
        <v>4.0917329999999996</v>
      </c>
      <c r="H489" s="45">
        <v>9.1061110000000003</v>
      </c>
      <c r="I489" s="46" t="s">
        <v>72</v>
      </c>
    </row>
    <row r="490" spans="1:9" ht="12.5">
      <c r="A490" s="41">
        <v>2510620</v>
      </c>
      <c r="B490" s="42" t="s">
        <v>597</v>
      </c>
      <c r="C490" s="43" t="s">
        <v>598</v>
      </c>
      <c r="D490" s="36" t="s">
        <v>5613</v>
      </c>
      <c r="E490" s="48" t="str">
        <f ca="1">IFERROR(__xludf.DUMMYFUNCTION("GOOGLETRANSLATE(D490)"),"Domain Services Active Directory zero to EXPERT")</f>
        <v>Domain Services Active Directory zero to EXPERT</v>
      </c>
      <c r="F490" s="36" t="s">
        <v>5576</v>
      </c>
      <c r="G490" s="45">
        <v>4.6338033999999997</v>
      </c>
      <c r="H490" s="45">
        <v>6.4547220000000003</v>
      </c>
      <c r="I490" s="46" t="s">
        <v>21</v>
      </c>
    </row>
    <row r="491" spans="1:9" ht="12.5">
      <c r="A491" s="41">
        <v>1863776</v>
      </c>
      <c r="B491" s="42" t="s">
        <v>597</v>
      </c>
      <c r="C491" s="43" t="s">
        <v>598</v>
      </c>
      <c r="D491" s="36" t="s">
        <v>5614</v>
      </c>
      <c r="E491" s="48" t="str">
        <f ca="1">IFERROR(__xludf.DUMMYFUNCTION("GOOGLETRANSLATE(D491)"),"Learn Hacking Web and Pentesting")</f>
        <v>Learn Hacking Web and Pentesting</v>
      </c>
      <c r="F491" s="36" t="s">
        <v>5615</v>
      </c>
      <c r="G491" s="45">
        <v>4.3239464999999999</v>
      </c>
      <c r="H491" s="45">
        <v>5.2850000000000001</v>
      </c>
      <c r="I491" s="46" t="s">
        <v>21</v>
      </c>
    </row>
    <row r="492" spans="1:9" ht="12.5">
      <c r="A492" s="47">
        <v>2382491</v>
      </c>
      <c r="B492" s="36" t="s">
        <v>597</v>
      </c>
      <c r="C492" s="36" t="s">
        <v>598</v>
      </c>
      <c r="D492" s="36" t="s">
        <v>5616</v>
      </c>
      <c r="E492" s="48" t="str">
        <f ca="1">IFERROR(__xludf.DUMMYFUNCTION("GOOGLETRANSLATE(D492)"),"Metasploit hacking from scratch")</f>
        <v>Metasploit hacking from scratch</v>
      </c>
      <c r="F492" s="36" t="s">
        <v>5576</v>
      </c>
      <c r="G492" s="45">
        <v>4.5190939999999999</v>
      </c>
      <c r="H492" s="45">
        <v>8.1158330000000003</v>
      </c>
      <c r="I492" s="46" t="s">
        <v>21</v>
      </c>
    </row>
    <row r="493" spans="1:9" ht="12.5">
      <c r="A493" s="41">
        <v>2307340</v>
      </c>
      <c r="B493" s="42" t="s">
        <v>597</v>
      </c>
      <c r="C493" s="43" t="s">
        <v>598</v>
      </c>
      <c r="D493" s="36" t="s">
        <v>5617</v>
      </c>
      <c r="E493" s="48" t="str">
        <f ca="1">IFERROR(__xludf.DUMMYFUNCTION("GOOGLETRANSLATE(D493)"),"Security: Hacking with Python Recargado.Año 2020")</f>
        <v>Security: Hacking with Python Recargado.Año 2020</v>
      </c>
      <c r="F493" s="36" t="s">
        <v>4949</v>
      </c>
      <c r="G493" s="45">
        <v>4.6505679999999998</v>
      </c>
      <c r="H493" s="45">
        <v>9.2855550000000004</v>
      </c>
      <c r="I493" s="46" t="s">
        <v>259</v>
      </c>
    </row>
    <row r="494" spans="1:9" ht="12.5">
      <c r="A494" s="47">
        <v>1464084</v>
      </c>
      <c r="B494" s="42" t="s">
        <v>597</v>
      </c>
      <c r="C494" s="36" t="s">
        <v>598</v>
      </c>
      <c r="D494" s="36" t="s">
        <v>5618</v>
      </c>
      <c r="E494" s="48" t="str">
        <f ca="1">IFERROR(__xludf.DUMMYFUNCTION("GOOGLETRANSLATE(D494)"),"Professional Ethical Hacking - Hacking by Google")</f>
        <v>Professional Ethical Hacking - Hacking by Google</v>
      </c>
      <c r="F494" s="36" t="s">
        <v>5606</v>
      </c>
      <c r="G494" s="45">
        <v>4.8228090000000003</v>
      </c>
      <c r="H494" s="45">
        <v>4.3663879999999997</v>
      </c>
      <c r="I494" s="46" t="s">
        <v>17</v>
      </c>
    </row>
    <row r="495" spans="1:9" ht="12.5">
      <c r="A495" s="47">
        <v>1895620</v>
      </c>
      <c r="B495" s="36" t="s">
        <v>597</v>
      </c>
      <c r="C495" s="36" t="s">
        <v>598</v>
      </c>
      <c r="D495" s="36" t="s">
        <v>5619</v>
      </c>
      <c r="E495" s="48" t="str">
        <f ca="1">IFERROR(__xludf.DUMMYFUNCTION("GOOGLETRANSLATE(D495)"),"Computer forensics - who, how and when")</f>
        <v>Computer forensics - who, how and when</v>
      </c>
      <c r="F495" s="36" t="s">
        <v>5606</v>
      </c>
      <c r="G495" s="45">
        <v>4.2002993000000002</v>
      </c>
      <c r="H495" s="45">
        <v>3.9980549999999999</v>
      </c>
      <c r="I495" s="36" t="s">
        <v>72</v>
      </c>
    </row>
    <row r="496" spans="1:9" ht="12.5">
      <c r="A496" s="47">
        <v>1432972</v>
      </c>
      <c r="B496" s="36" t="s">
        <v>597</v>
      </c>
      <c r="C496" s="36" t="s">
        <v>598</v>
      </c>
      <c r="D496" s="36" t="s">
        <v>5620</v>
      </c>
      <c r="E496" s="48" t="str">
        <f ca="1">IFERROR(__xludf.DUMMYFUNCTION("GOOGLETRANSLATE(D496)"),"Networks in Microsoft Azure (2018)")</f>
        <v>Networks in Microsoft Azure (2018)</v>
      </c>
      <c r="F496" s="36" t="s">
        <v>4927</v>
      </c>
      <c r="G496" s="45">
        <v>4.6910090000000002</v>
      </c>
      <c r="H496" s="45">
        <v>6.4727769999999998</v>
      </c>
      <c r="I496" s="36" t="s">
        <v>72</v>
      </c>
    </row>
    <row r="497" spans="1:9" ht="12.5">
      <c r="A497" s="47">
        <v>2140016</v>
      </c>
      <c r="B497" s="36" t="s">
        <v>597</v>
      </c>
      <c r="C497" s="36" t="s">
        <v>598</v>
      </c>
      <c r="D497" s="36" t="s">
        <v>5621</v>
      </c>
      <c r="E497" s="48" t="str">
        <f ca="1">IFERROR(__xludf.DUMMYFUNCTION("GOOGLETRANSLATE(D497)"),"Pentesting Information Security. Detect, Defend 2020.")</f>
        <v>Pentesting Information Security. Detect, Defend 2020.</v>
      </c>
      <c r="F497" s="36" t="s">
        <v>4949</v>
      </c>
      <c r="G497" s="45">
        <v>4.704504</v>
      </c>
      <c r="H497" s="45">
        <v>7.3161110000000003</v>
      </c>
      <c r="I497" s="36" t="s">
        <v>259</v>
      </c>
    </row>
    <row r="498" spans="1:9" ht="12.5">
      <c r="A498" s="47">
        <v>2332740</v>
      </c>
      <c r="B498" s="36" t="s">
        <v>597</v>
      </c>
      <c r="C498" s="36" t="s">
        <v>598</v>
      </c>
      <c r="D498" s="36" t="s">
        <v>5622</v>
      </c>
      <c r="E498" s="48" t="str">
        <f ca="1">IFERROR(__xludf.DUMMYFUNCTION("GOOGLETRANSLATE(D498)"),"Social engineering attacks and without technology")</f>
        <v>Social engineering attacks and without technology</v>
      </c>
      <c r="F498" s="36" t="s">
        <v>5606</v>
      </c>
      <c r="G498" s="45">
        <v>4.6501919999999997</v>
      </c>
      <c r="H498" s="45">
        <v>6.5672220000000001</v>
      </c>
      <c r="I498" s="36" t="s">
        <v>17</v>
      </c>
    </row>
    <row r="499" spans="1:9" ht="12.5">
      <c r="A499" s="47">
        <v>1816278</v>
      </c>
      <c r="B499" s="36" t="s">
        <v>597</v>
      </c>
      <c r="C499" s="36" t="s">
        <v>598</v>
      </c>
      <c r="D499" s="36" t="s">
        <v>5623</v>
      </c>
      <c r="E499" s="48" t="str">
        <f ca="1">IFERROR(__xludf.DUMMYFUNCTION("GOOGLETRANSLATE(D499)"),"WiFi network security, detection and removal of Hackers")</f>
        <v>WiFi network security, detection and removal of Hackers</v>
      </c>
      <c r="F499" s="36" t="s">
        <v>5606</v>
      </c>
      <c r="G499" s="45">
        <v>4.6384460000000001</v>
      </c>
      <c r="H499" s="45">
        <v>8.0280550000000002</v>
      </c>
      <c r="I499" s="36" t="s">
        <v>72</v>
      </c>
    </row>
    <row r="500" spans="1:9" ht="12.5">
      <c r="A500" s="47">
        <v>1947076</v>
      </c>
      <c r="B500" s="36" t="s">
        <v>597</v>
      </c>
      <c r="C500" s="36" t="s">
        <v>598</v>
      </c>
      <c r="D500" s="36" t="s">
        <v>5624</v>
      </c>
      <c r="E500" s="48" t="str">
        <f ca="1">IFERROR(__xludf.DUMMYFUNCTION("GOOGLETRANSLATE(D500)"),"Advanced Computer Forensic RFC - Under Windows environments")</f>
        <v>Advanced Computer Forensic RFC - Under Windows environments</v>
      </c>
      <c r="F500" s="36" t="s">
        <v>5606</v>
      </c>
      <c r="G500" s="45">
        <v>4.5340470000000002</v>
      </c>
      <c r="H500" s="45">
        <v>6.4516660000000003</v>
      </c>
      <c r="I500" s="36" t="s">
        <v>72</v>
      </c>
    </row>
    <row r="501" spans="1:9" ht="12.5">
      <c r="A501" s="47">
        <v>1440104</v>
      </c>
      <c r="B501" s="36" t="s">
        <v>597</v>
      </c>
      <c r="C501" s="36" t="s">
        <v>598</v>
      </c>
      <c r="D501" s="36" t="s">
        <v>5625</v>
      </c>
      <c r="E501" s="48" t="str">
        <f ca="1">IFERROR(__xludf.DUMMYFUNCTION("GOOGLETRANSLATE(D501)"),"Pfsense Firewall Fundamentals in Spanish")</f>
        <v>Pfsense Firewall Fundamentals in Spanish</v>
      </c>
      <c r="F501" s="36" t="s">
        <v>5626</v>
      </c>
      <c r="G501" s="45">
        <v>4.6741713999999996</v>
      </c>
      <c r="H501" s="45">
        <v>2.8849999999999998</v>
      </c>
      <c r="I501" s="36" t="s">
        <v>21</v>
      </c>
    </row>
    <row r="502" spans="1:9" ht="12.5">
      <c r="A502" s="47">
        <v>1798226</v>
      </c>
      <c r="B502" s="36" t="s">
        <v>597</v>
      </c>
      <c r="C502" s="36" t="s">
        <v>598</v>
      </c>
      <c r="D502" s="36" t="s">
        <v>5627</v>
      </c>
      <c r="E502" s="48" t="str">
        <f ca="1">IFERROR(__xludf.DUMMYFUNCTION("GOOGLETRANSLATE(D502)"),"Ubuntu 18.04 VPS sure Letsencrypt Nginx with PHP and MySQL")</f>
        <v>Ubuntu 18.04 VPS sure Letsencrypt Nginx with PHP and MySQL</v>
      </c>
      <c r="F502" s="36" t="s">
        <v>5421</v>
      </c>
      <c r="G502" s="45">
        <v>4.6833267000000003</v>
      </c>
      <c r="H502" s="45">
        <v>5.6886109999999999</v>
      </c>
      <c r="I502" s="36" t="s">
        <v>21</v>
      </c>
    </row>
    <row r="503" spans="1:9" ht="12.5">
      <c r="A503" s="47">
        <v>2004390</v>
      </c>
      <c r="B503" s="36" t="s">
        <v>597</v>
      </c>
      <c r="C503" s="36" t="s">
        <v>598</v>
      </c>
      <c r="D503" s="36" t="s">
        <v>5628</v>
      </c>
      <c r="E503" s="48" t="str">
        <f ca="1">IFERROR(__xludf.DUMMYFUNCTION("GOOGLETRANSLATE(D503)"),"Data networks and troubleshooting")</f>
        <v>Data networks and troubleshooting</v>
      </c>
      <c r="F503" s="36" t="s">
        <v>5606</v>
      </c>
      <c r="G503" s="45">
        <v>4.5501079999999998</v>
      </c>
      <c r="H503" s="45">
        <v>12.956666</v>
      </c>
      <c r="I503" s="36" t="s">
        <v>17</v>
      </c>
    </row>
    <row r="504" spans="1:9" ht="12.5">
      <c r="A504" s="47">
        <v>2626844</v>
      </c>
      <c r="B504" s="36" t="s">
        <v>597</v>
      </c>
      <c r="C504" s="36" t="s">
        <v>598</v>
      </c>
      <c r="D504" s="36" t="s">
        <v>5629</v>
      </c>
      <c r="E504" s="48" t="str">
        <f ca="1">IFERROR(__xludf.DUMMYFUNCTION("GOOGLETRANSLATE(D504)"),"Licensing Creator Software in C #")</f>
        <v>Licensing Creator Software in C #</v>
      </c>
      <c r="F504" s="36" t="s">
        <v>5110</v>
      </c>
      <c r="G504" s="45">
        <v>3.9848716</v>
      </c>
      <c r="H504" s="45">
        <v>0.95499999999999996</v>
      </c>
      <c r="I504" s="36" t="s">
        <v>21</v>
      </c>
    </row>
    <row r="505" spans="1:9" ht="12.5">
      <c r="A505" s="47">
        <v>1436898</v>
      </c>
      <c r="B505" s="36" t="s">
        <v>597</v>
      </c>
      <c r="C505" s="36" t="s">
        <v>598</v>
      </c>
      <c r="D505" s="36" t="s">
        <v>5630</v>
      </c>
      <c r="E505" s="48" t="str">
        <f ca="1">IFERROR(__xludf.DUMMYFUNCTION("GOOGLETRANSLATE(D505)"),"Ethical Hacking Professional - Recognition Objectives")</f>
        <v>Ethical Hacking Professional - Recognition Objectives</v>
      </c>
      <c r="F505" s="36" t="s">
        <v>5606</v>
      </c>
      <c r="G505" s="45">
        <v>4.4750069999999997</v>
      </c>
      <c r="H505" s="45">
        <v>5.2422219999999999</v>
      </c>
      <c r="I505" s="36" t="s">
        <v>21</v>
      </c>
    </row>
    <row r="506" spans="1:9" ht="12.5">
      <c r="A506" s="47">
        <v>1726688</v>
      </c>
      <c r="B506" s="36" t="s">
        <v>597</v>
      </c>
      <c r="C506" s="36" t="s">
        <v>598</v>
      </c>
      <c r="D506" s="36" t="s">
        <v>5631</v>
      </c>
      <c r="E506" s="48" t="str">
        <f ca="1">IFERROR(__xludf.DUMMYFUNCTION("GOOGLETRANSLATE(D506)"),"Professional Ethical Hacking - Admissions System")</f>
        <v>Professional Ethical Hacking - Admissions System</v>
      </c>
      <c r="F506" s="36" t="s">
        <v>5606</v>
      </c>
      <c r="G506" s="45">
        <v>4.4094033000000001</v>
      </c>
      <c r="H506" s="45">
        <v>10.972222</v>
      </c>
      <c r="I506" s="36" t="s">
        <v>72</v>
      </c>
    </row>
    <row r="507" spans="1:9" ht="12.5">
      <c r="A507" s="47">
        <v>1634442</v>
      </c>
      <c r="B507" s="36" t="s">
        <v>597</v>
      </c>
      <c r="C507" s="36" t="s">
        <v>598</v>
      </c>
      <c r="D507" s="36" t="s">
        <v>5632</v>
      </c>
      <c r="E507" s="48" t="str">
        <f ca="1">IFERROR(__xludf.DUMMYFUNCTION("GOOGLETRANSLATE(D507)"),"Professional Ethical Hacking - Networks Objectives and Scanning")</f>
        <v>Professional Ethical Hacking - Networks Objectives and Scanning</v>
      </c>
      <c r="F507" s="36" t="s">
        <v>5606</v>
      </c>
      <c r="G507" s="45">
        <v>4.6789129999999997</v>
      </c>
      <c r="H507" s="45">
        <v>9.9252769999999995</v>
      </c>
      <c r="I507" s="36" t="s">
        <v>72</v>
      </c>
    </row>
    <row r="508" spans="1:9" ht="12.5">
      <c r="A508" s="47">
        <v>2907042</v>
      </c>
      <c r="B508" s="36" t="s">
        <v>597</v>
      </c>
      <c r="C508" s="36" t="s">
        <v>598</v>
      </c>
      <c r="D508" s="36" t="s">
        <v>5633</v>
      </c>
      <c r="E508" s="48" t="str">
        <f ca="1">IFERROR(__xludf.DUMMYFUNCTION("GOOGLETRANSLATE(D508)"),"Networking course in Microsoft Azure (2020)")</f>
        <v>Networking course in Microsoft Azure (2020)</v>
      </c>
      <c r="F508" s="36" t="s">
        <v>4927</v>
      </c>
      <c r="G508" s="45">
        <v>4.6504792999999998</v>
      </c>
      <c r="H508" s="45">
        <v>8.5397219999999994</v>
      </c>
      <c r="I508" s="36" t="s">
        <v>21</v>
      </c>
    </row>
    <row r="509" spans="1:9" ht="12.5">
      <c r="A509" s="47">
        <v>2224254</v>
      </c>
      <c r="B509" s="36" t="s">
        <v>597</v>
      </c>
      <c r="C509" s="36" t="s">
        <v>598</v>
      </c>
      <c r="D509" s="36" t="s">
        <v>5634</v>
      </c>
      <c r="E509" s="48" t="str">
        <f ca="1">IFERROR(__xludf.DUMMYFUNCTION("GOOGLETRANSLATE(D509)"),"Mikrotik course - an administrator Laboratories")</f>
        <v>Mikrotik course - an administrator Laboratories</v>
      </c>
      <c r="F509" s="36" t="s">
        <v>5635</v>
      </c>
      <c r="G509" s="45">
        <v>4.6021666999999997</v>
      </c>
      <c r="H509" s="45">
        <v>14.323055</v>
      </c>
      <c r="I509" s="36" t="s">
        <v>17</v>
      </c>
    </row>
    <row r="510" spans="1:9" ht="12.5">
      <c r="A510" s="47">
        <v>2525406</v>
      </c>
      <c r="B510" s="36" t="s">
        <v>597</v>
      </c>
      <c r="C510" s="36" t="s">
        <v>598</v>
      </c>
      <c r="D510" s="36" t="s">
        <v>5636</v>
      </c>
      <c r="E510" s="48" t="str">
        <f ca="1">IFERROR(__xludf.DUMMYFUNCTION("GOOGLETRANSLATE(D510)"),"Kali Linux. Informatic security. Pentesting. Hacking. 2020")</f>
        <v>Kali Linux. Informatic security. Pentesting. Hacking. 2020</v>
      </c>
      <c r="F510" s="36" t="s">
        <v>4949</v>
      </c>
      <c r="G510" s="45">
        <v>4.3190949999999999</v>
      </c>
      <c r="H510" s="45">
        <v>6.483333</v>
      </c>
      <c r="I510" s="36" t="s">
        <v>21</v>
      </c>
    </row>
    <row r="511" spans="1:9" ht="12.5">
      <c r="A511" s="47">
        <v>634250</v>
      </c>
      <c r="B511" s="36" t="s">
        <v>597</v>
      </c>
      <c r="C511" s="36" t="s">
        <v>598</v>
      </c>
      <c r="D511" s="36" t="s">
        <v>5637</v>
      </c>
      <c r="E511" s="48" t="str">
        <f ca="1">IFERROR(__xludf.DUMMYFUNCTION("GOOGLETRANSLATE(D511)"),"Iptables: Theory and practice to mount a Linux firewall")</f>
        <v>Iptables: Theory and practice to mount a Linux firewall</v>
      </c>
      <c r="F511" s="36" t="s">
        <v>5638</v>
      </c>
      <c r="G511" s="45">
        <v>4.7579130000000003</v>
      </c>
      <c r="H511" s="45">
        <v>5.3422219999999996</v>
      </c>
      <c r="I511" s="36" t="s">
        <v>72</v>
      </c>
    </row>
    <row r="512" spans="1:9" ht="12.5">
      <c r="A512" s="47">
        <v>2727858</v>
      </c>
      <c r="B512" s="36" t="s">
        <v>597</v>
      </c>
      <c r="C512" s="36" t="s">
        <v>598</v>
      </c>
      <c r="D512" s="36" t="s">
        <v>5639</v>
      </c>
      <c r="E512" s="48" t="str">
        <f ca="1">IFERROR(__xludf.DUMMYFUNCTION("GOOGLETRANSLATE(D512)"),"Informatic security. Kali Linux practices. CTF.- challenges")</f>
        <v>Informatic security. Kali Linux practices. CTF.- challenges</v>
      </c>
      <c r="F512" s="36" t="s">
        <v>4949</v>
      </c>
      <c r="G512" s="45">
        <v>4.7148346999999999</v>
      </c>
      <c r="H512" s="45">
        <v>6.4555550000000004</v>
      </c>
      <c r="I512" s="36" t="s">
        <v>21</v>
      </c>
    </row>
    <row r="513" spans="1:9" ht="12.5">
      <c r="A513" s="47">
        <v>2904144</v>
      </c>
      <c r="B513" s="36" t="s">
        <v>597</v>
      </c>
      <c r="C513" s="36" t="s">
        <v>598</v>
      </c>
      <c r="D513" s="36" t="s">
        <v>5640</v>
      </c>
      <c r="E513" s="48" t="str">
        <f ca="1">IFERROR(__xludf.DUMMYFUNCTION("GOOGLETRANSLATE(D513)"),"CCNA 200-301")</f>
        <v>CCNA 200-301</v>
      </c>
      <c r="F513" s="36" t="s">
        <v>5641</v>
      </c>
      <c r="G513" s="45">
        <v>4.2723950000000004</v>
      </c>
      <c r="H513" s="45">
        <v>20.623888000000001</v>
      </c>
      <c r="I513" s="36" t="s">
        <v>17</v>
      </c>
    </row>
    <row r="514" spans="1:9" ht="12.5">
      <c r="A514" s="47">
        <v>606620</v>
      </c>
      <c r="B514" s="36" t="s">
        <v>597</v>
      </c>
      <c r="C514" s="36" t="s">
        <v>598</v>
      </c>
      <c r="D514" s="36" t="s">
        <v>5642</v>
      </c>
      <c r="E514" s="48" t="str">
        <f ca="1">IFERROR(__xludf.DUMMYFUNCTION("GOOGLETRANSLATE(D514)"),"How to configure a data network from scratch easily")</f>
        <v>How to configure a data network from scratch easily</v>
      </c>
      <c r="F514" s="36" t="s">
        <v>5587</v>
      </c>
      <c r="G514" s="45">
        <v>4.598052</v>
      </c>
      <c r="H514" s="45">
        <v>2.7508330000000001</v>
      </c>
      <c r="I514" s="36" t="s">
        <v>17</v>
      </c>
    </row>
    <row r="515" spans="1:9" ht="12.5">
      <c r="A515" s="47">
        <v>1890392</v>
      </c>
      <c r="B515" s="36" t="s">
        <v>597</v>
      </c>
      <c r="C515" s="36" t="s">
        <v>598</v>
      </c>
      <c r="D515" s="36" t="s">
        <v>5643</v>
      </c>
      <c r="E515" s="48" t="str">
        <f ca="1">IFERROR(__xludf.DUMMYFUNCTION("GOOGLETRANSLATE(D515)"),"Advanced Digital Spy. Methodologies and tools.")</f>
        <v>Advanced Digital Spy. Methodologies and tools.</v>
      </c>
      <c r="F515" s="36" t="s">
        <v>4949</v>
      </c>
      <c r="G515" s="45">
        <v>4.4610285999999997</v>
      </c>
      <c r="H515" s="45">
        <v>7.8286110000000004</v>
      </c>
      <c r="I515" s="36" t="s">
        <v>259</v>
      </c>
    </row>
    <row r="516" spans="1:9" ht="12.5">
      <c r="A516" s="41">
        <v>2558094</v>
      </c>
      <c r="B516" s="36" t="s">
        <v>597</v>
      </c>
      <c r="C516" s="36" t="s">
        <v>598</v>
      </c>
      <c r="D516" s="36" t="s">
        <v>5644</v>
      </c>
      <c r="E516" s="48" t="str">
        <f ca="1">IFERROR(__xludf.DUMMYFUNCTION("GOOGLETRANSLATE(D516)"),"Informática- Social Security Engineering: The art of deception")</f>
        <v>Informática- Social Security Engineering: The art of deception</v>
      </c>
      <c r="F516" s="36" t="s">
        <v>4949</v>
      </c>
      <c r="G516" s="45">
        <v>4.8650700000000002</v>
      </c>
      <c r="H516" s="45">
        <v>3.650833</v>
      </c>
      <c r="I516" s="46" t="s">
        <v>21</v>
      </c>
    </row>
    <row r="517" spans="1:9" ht="12.5">
      <c r="A517" s="41">
        <v>2801136</v>
      </c>
      <c r="B517" s="36" t="s">
        <v>597</v>
      </c>
      <c r="C517" s="36" t="s">
        <v>598</v>
      </c>
      <c r="D517" s="36" t="s">
        <v>5645</v>
      </c>
      <c r="E517" s="48" t="str">
        <f ca="1">IFERROR(__xludf.DUMMYFUNCTION("GOOGLETRANSLATE(D517)"),"WIRESHARK expert")</f>
        <v>WIRESHARK expert</v>
      </c>
      <c r="F517" s="36" t="s">
        <v>5646</v>
      </c>
      <c r="G517" s="45">
        <v>4.6586790000000002</v>
      </c>
      <c r="H517" s="45">
        <v>10.912777</v>
      </c>
      <c r="I517" s="46" t="s">
        <v>17</v>
      </c>
    </row>
    <row r="518" spans="1:9" ht="12.5">
      <c r="A518" s="47">
        <v>2918132</v>
      </c>
      <c r="B518" s="36" t="s">
        <v>597</v>
      </c>
      <c r="C518" s="36" t="s">
        <v>598</v>
      </c>
      <c r="D518" s="36" t="s">
        <v>5647</v>
      </c>
      <c r="E518" s="48" t="str">
        <f ca="1">IFERROR(__xludf.DUMMYFUNCTION("GOOGLETRANSLATE(D518)"),"Attacks on the registry and startup methods of malware [Windows]")</f>
        <v>Attacks on the registry and startup methods of malware [Windows]</v>
      </c>
      <c r="F518" s="36" t="s">
        <v>5606</v>
      </c>
      <c r="G518" s="45">
        <v>4.7768280000000001</v>
      </c>
      <c r="H518" s="45">
        <v>6.6597220000000004</v>
      </c>
      <c r="I518" s="46" t="s">
        <v>17</v>
      </c>
    </row>
    <row r="519" spans="1:9" ht="12.5">
      <c r="A519" s="47">
        <v>1481476</v>
      </c>
      <c r="B519" s="36" t="s">
        <v>597</v>
      </c>
      <c r="C519" s="36" t="s">
        <v>604</v>
      </c>
      <c r="D519" s="36" t="s">
        <v>5648</v>
      </c>
      <c r="E519" s="48" t="str">
        <f ca="1">IFERROR(__xludf.DUMMYFUNCTION("GOOGLETRANSLATE(D519)"),"OpenShift 4 from zero")</f>
        <v>OpenShift 4 from zero</v>
      </c>
      <c r="F519" s="36" t="s">
        <v>4961</v>
      </c>
      <c r="G519" s="45">
        <v>4.6246429999999998</v>
      </c>
      <c r="H519" s="45">
        <v>14.625833</v>
      </c>
      <c r="I519" s="46" t="s">
        <v>21</v>
      </c>
    </row>
    <row r="520" spans="1:9" ht="12.5">
      <c r="A520" s="47">
        <v>1694368</v>
      </c>
      <c r="B520" s="36" t="s">
        <v>597</v>
      </c>
      <c r="C520" s="36" t="s">
        <v>604</v>
      </c>
      <c r="D520" s="36" t="s">
        <v>5649</v>
      </c>
      <c r="E520" s="48" t="str">
        <f ca="1">IFERROR(__xludf.DUMMYFUNCTION("GOOGLETRANSLATE(D520)"),"Linux Command: from zero to schedule Shell Script")</f>
        <v>Linux Command: from zero to schedule Shell Script</v>
      </c>
      <c r="F520" s="36" t="s">
        <v>5570</v>
      </c>
      <c r="G520" s="45">
        <v>4.7194304000000002</v>
      </c>
      <c r="H520" s="45">
        <v>12.554166</v>
      </c>
      <c r="I520" s="46" t="s">
        <v>21</v>
      </c>
    </row>
    <row r="521" spans="1:9" ht="12.5">
      <c r="A521" s="41">
        <v>1576870</v>
      </c>
      <c r="B521" s="36" t="s">
        <v>597</v>
      </c>
      <c r="C521" s="36" t="s">
        <v>604</v>
      </c>
      <c r="D521" s="36" t="s">
        <v>5650</v>
      </c>
      <c r="E521" s="48" t="str">
        <f ca="1">IFERROR(__xludf.DUMMYFUNCTION("GOOGLETRANSLATE(D521)"),"Learn SQL Server basic level - advanced! (Updated)")</f>
        <v>Learn SQL Server basic level - advanced! (Updated)</v>
      </c>
      <c r="F521" s="36" t="s">
        <v>5651</v>
      </c>
      <c r="G521" s="45">
        <v>4.5857925000000002</v>
      </c>
      <c r="H521" s="45">
        <v>14.584721999999999</v>
      </c>
      <c r="I521" s="46" t="s">
        <v>21</v>
      </c>
    </row>
    <row r="522" spans="1:9" ht="12.5">
      <c r="A522" s="41">
        <v>1411306</v>
      </c>
      <c r="B522" s="42" t="s">
        <v>597</v>
      </c>
      <c r="C522" s="43" t="s">
        <v>604</v>
      </c>
      <c r="D522" s="36" t="s">
        <v>5652</v>
      </c>
      <c r="E522" s="48" t="str">
        <f ca="1">IFERROR(__xludf.DUMMYFUNCTION("GOOGLETRANSLATE(D522)"),"VMware vSphere 6.7 full course from beginner to advanced")</f>
        <v>VMware vSphere 6.7 full course from beginner to advanced</v>
      </c>
      <c r="F522" s="36" t="s">
        <v>4920</v>
      </c>
      <c r="G522" s="45">
        <v>4.5662560000000001</v>
      </c>
      <c r="H522" s="45">
        <v>13.100277</v>
      </c>
      <c r="I522" s="46" t="s">
        <v>21</v>
      </c>
    </row>
    <row r="523" spans="1:9" ht="12.5">
      <c r="A523" s="41">
        <v>625798</v>
      </c>
      <c r="B523" s="42" t="s">
        <v>597</v>
      </c>
      <c r="C523" s="43" t="s">
        <v>604</v>
      </c>
      <c r="D523" s="36" t="s">
        <v>5653</v>
      </c>
      <c r="E523" s="48" t="str">
        <f ca="1">IFERROR(__xludf.DUMMYFUNCTION("GOOGLETRANSLATE(D523)"),"Linux course: everything you need to be an administrator")</f>
        <v>Linux course: everything you need to be an administrator</v>
      </c>
      <c r="F523" s="36" t="s">
        <v>5129</v>
      </c>
      <c r="G523" s="45">
        <v>4.3896170000000003</v>
      </c>
      <c r="H523" s="45">
        <v>8.4291660000000004</v>
      </c>
      <c r="I523" s="46" t="s">
        <v>21</v>
      </c>
    </row>
    <row r="524" spans="1:9" ht="12.5">
      <c r="A524" s="41">
        <v>1152156</v>
      </c>
      <c r="B524" s="36" t="s">
        <v>597</v>
      </c>
      <c r="C524" s="36" t="s">
        <v>604</v>
      </c>
      <c r="D524" s="36" t="s">
        <v>5654</v>
      </c>
      <c r="E524" s="48" t="str">
        <f ca="1">IFERROR(__xludf.DUMMYFUNCTION("GOOGLETRANSLATE(D524)"),"Bash - Linux Command Interpreter. Learn from scratch")</f>
        <v>Bash - Linux Command Interpreter. Learn from scratch</v>
      </c>
      <c r="F524" s="36" t="s">
        <v>5570</v>
      </c>
      <c r="G524" s="45">
        <v>4.6923136999999997</v>
      </c>
      <c r="H524" s="45">
        <v>2.798333</v>
      </c>
      <c r="I524" s="46" t="s">
        <v>17</v>
      </c>
    </row>
    <row r="525" spans="1:9" ht="12.5">
      <c r="A525" s="47">
        <v>1283436</v>
      </c>
      <c r="B525" s="36" t="s">
        <v>597</v>
      </c>
      <c r="C525" s="36" t="s">
        <v>604</v>
      </c>
      <c r="D525" s="36" t="s">
        <v>5655</v>
      </c>
      <c r="E525" s="48" t="str">
        <f ca="1">IFERROR(__xludf.DUMMYFUNCTION("GOOGLETRANSLATE(D525)"),"Installing and Configuring Windows Server 2016/2019")</f>
        <v>Installing and Configuring Windows Server 2016/2019</v>
      </c>
      <c r="F525" s="36" t="s">
        <v>4931</v>
      </c>
      <c r="G525" s="45">
        <v>4.5504579999999999</v>
      </c>
      <c r="H525" s="45">
        <v>41.104443000000003</v>
      </c>
      <c r="I525" s="46" t="s">
        <v>21</v>
      </c>
    </row>
    <row r="526" spans="1:9" ht="12.5">
      <c r="A526" s="47">
        <v>1691850</v>
      </c>
      <c r="B526" s="36" t="s">
        <v>597</v>
      </c>
      <c r="C526" s="36" t="s">
        <v>604</v>
      </c>
      <c r="D526" s="36" t="s">
        <v>5656</v>
      </c>
      <c r="E526" s="48" t="str">
        <f ca="1">IFERROR(__xludf.DUMMYFUNCTION("GOOGLETRANSLATE(D526)"),"Linux Learn the basics from a shell script")</f>
        <v>Linux Learn the basics from a shell script</v>
      </c>
      <c r="F526" s="36" t="s">
        <v>4961</v>
      </c>
      <c r="G526" s="45">
        <v>4.6503806000000001</v>
      </c>
      <c r="H526" s="45">
        <v>14.673888</v>
      </c>
      <c r="I526" s="46" t="s">
        <v>21</v>
      </c>
    </row>
    <row r="527" spans="1:9" ht="12.5">
      <c r="A527" s="41">
        <v>2225970</v>
      </c>
      <c r="B527" s="42" t="s">
        <v>597</v>
      </c>
      <c r="C527" s="43" t="s">
        <v>604</v>
      </c>
      <c r="D527" s="36" t="s">
        <v>5657</v>
      </c>
      <c r="E527" s="48" t="str">
        <f ca="1">IFERROR(__xludf.DUMMYFUNCTION("GOOGLETRANSLATE(D527)"),"I JBoss Application Management")</f>
        <v>I JBoss Application Management</v>
      </c>
      <c r="F527" s="36" t="s">
        <v>5578</v>
      </c>
      <c r="G527" s="45">
        <v>4.4891030000000001</v>
      </c>
      <c r="H527" s="45">
        <v>13.646944</v>
      </c>
      <c r="I527" s="46" t="s">
        <v>21</v>
      </c>
    </row>
    <row r="528" spans="1:9" ht="12.5">
      <c r="A528" s="47">
        <v>1681192</v>
      </c>
      <c r="B528" s="36" t="s">
        <v>597</v>
      </c>
      <c r="C528" s="36" t="s">
        <v>604</v>
      </c>
      <c r="D528" s="36" t="s">
        <v>5658</v>
      </c>
      <c r="E528" s="48" t="str">
        <f ca="1">IFERROR(__xludf.DUMMYFUNCTION("GOOGLETRANSLATE(D528)"),"Introduction to Windows PowerShell administration")</f>
        <v>Introduction to Windows PowerShell administration</v>
      </c>
      <c r="F528" s="36" t="s">
        <v>4931</v>
      </c>
      <c r="G528" s="45">
        <v>4.3575140000000001</v>
      </c>
      <c r="H528" s="45">
        <v>5.15</v>
      </c>
      <c r="I528" s="36" t="s">
        <v>17</v>
      </c>
    </row>
    <row r="529" spans="1:9" ht="12.5">
      <c r="A529" s="41">
        <v>3255210</v>
      </c>
      <c r="B529" s="36" t="s">
        <v>597</v>
      </c>
      <c r="C529" s="36" t="s">
        <v>604</v>
      </c>
      <c r="D529" s="36" t="s">
        <v>5659</v>
      </c>
      <c r="E529" s="48" t="str">
        <f ca="1">IFERROR(__xludf.DUMMYFUNCTION("GOOGLETRANSLATE(D529)"),"Mainframe full course, z / OS, from 0")</f>
        <v>Mainframe full course, z / OS, from 0</v>
      </c>
      <c r="F529" s="36" t="s">
        <v>5660</v>
      </c>
      <c r="G529" s="45">
        <v>4.6977973000000004</v>
      </c>
      <c r="H529" s="45">
        <v>10.902777</v>
      </c>
      <c r="I529" s="46" t="s">
        <v>21</v>
      </c>
    </row>
    <row r="530" spans="1:9" ht="12.5">
      <c r="A530" s="41">
        <v>2235040</v>
      </c>
      <c r="B530" s="42" t="s">
        <v>597</v>
      </c>
      <c r="C530" s="43" t="s">
        <v>604</v>
      </c>
      <c r="D530" s="36" t="s">
        <v>5661</v>
      </c>
      <c r="E530" s="48" t="str">
        <f ca="1">IFERROR(__xludf.DUMMYFUNCTION("GOOGLETRANSLATE(D530)"),"Managing Active Directory with Windows PowerShell")</f>
        <v>Managing Active Directory with Windows PowerShell</v>
      </c>
      <c r="F530" s="36" t="s">
        <v>4931</v>
      </c>
      <c r="G530" s="45">
        <v>4.6203859999999999</v>
      </c>
      <c r="H530" s="45">
        <v>8.644444</v>
      </c>
      <c r="I530" s="46" t="s">
        <v>21</v>
      </c>
    </row>
    <row r="531" spans="1:9" ht="12.5">
      <c r="A531" s="47">
        <v>809326</v>
      </c>
      <c r="B531" s="36" t="s">
        <v>597</v>
      </c>
      <c r="C531" s="36" t="s">
        <v>604</v>
      </c>
      <c r="D531" s="36" t="s">
        <v>5662</v>
      </c>
      <c r="E531" s="48" t="str">
        <f ca="1">IFERROR(__xludf.DUMMYFUNCTION("GOOGLETRANSLATE(D531)"),"Installing and Configuring Windows Server 2012 R2.")</f>
        <v>Installing and Configuring Windows Server 2012 R2.</v>
      </c>
      <c r="F531" s="36" t="s">
        <v>5612</v>
      </c>
      <c r="G531" s="45">
        <v>4.6114464000000002</v>
      </c>
      <c r="H531" s="45">
        <v>5.0805550000000004</v>
      </c>
      <c r="I531" s="46" t="s">
        <v>17</v>
      </c>
    </row>
    <row r="532" spans="1:9" ht="12.5">
      <c r="A532" s="41">
        <v>1512258</v>
      </c>
      <c r="B532" s="42" t="s">
        <v>597</v>
      </c>
      <c r="C532" s="43" t="s">
        <v>604</v>
      </c>
      <c r="D532" s="36" t="s">
        <v>5663</v>
      </c>
      <c r="E532" s="48" t="str">
        <f ca="1">IFERROR(__xludf.DUMMYFUNCTION("GOOGLETRANSLATE(D532)"),"Managing and Configuring SCCM 2016")</f>
        <v>Managing and Configuring SCCM 2016</v>
      </c>
      <c r="F532" s="36" t="s">
        <v>5612</v>
      </c>
      <c r="G532" s="45">
        <v>3.9701376000000002</v>
      </c>
      <c r="H532" s="45">
        <v>3.503333</v>
      </c>
      <c r="I532" s="46" t="s">
        <v>259</v>
      </c>
    </row>
    <row r="533" spans="1:9" ht="12.5">
      <c r="A533" s="41">
        <v>1259562</v>
      </c>
      <c r="B533" s="42" t="s">
        <v>597</v>
      </c>
      <c r="C533" s="43" t="s">
        <v>604</v>
      </c>
      <c r="D533" s="36" t="s">
        <v>5664</v>
      </c>
      <c r="E533" s="48" t="str">
        <f ca="1">IFERROR(__xludf.DUMMYFUNCTION("GOOGLETRANSLATE(D533)"),"Linux Bash Shell Commands for managing text")</f>
        <v>Linux Bash Shell Commands for managing text</v>
      </c>
      <c r="F533" s="36" t="s">
        <v>5570</v>
      </c>
      <c r="G533" s="45">
        <v>4.2917120000000004</v>
      </c>
      <c r="H533" s="45">
        <v>2.936388</v>
      </c>
      <c r="I533" s="46" t="s">
        <v>72</v>
      </c>
    </row>
    <row r="534" spans="1:9" ht="12.5">
      <c r="A534" s="41">
        <v>1227280</v>
      </c>
      <c r="B534" s="42" t="s">
        <v>597</v>
      </c>
      <c r="C534" s="43" t="s">
        <v>604</v>
      </c>
      <c r="D534" s="36" t="s">
        <v>5665</v>
      </c>
      <c r="E534" s="48" t="str">
        <f ca="1">IFERROR(__xludf.DUMMYFUNCTION("GOOGLETRANSLATE(D534)"),"Course of GNU / Linux CentOS and Debian (I - Management and Admin)")</f>
        <v>Course of GNU / Linux CentOS and Debian (I - Management and Admin)</v>
      </c>
      <c r="F534" s="36" t="s">
        <v>5666</v>
      </c>
      <c r="G534" s="45">
        <v>4.3403486999999998</v>
      </c>
      <c r="H534" s="45">
        <v>28.266387999999999</v>
      </c>
      <c r="I534" s="46" t="s">
        <v>21</v>
      </c>
    </row>
    <row r="535" spans="1:9" ht="12.5">
      <c r="A535" s="41">
        <v>1362744</v>
      </c>
      <c r="B535" s="36" t="s">
        <v>597</v>
      </c>
      <c r="C535" s="36" t="s">
        <v>604</v>
      </c>
      <c r="D535" s="36" t="s">
        <v>5667</v>
      </c>
      <c r="E535" s="48" t="str">
        <f ca="1">IFERROR(__xludf.DUMMYFUNCTION("GOOGLETRANSLATE(D535)"),"Course of Linux servers in hundreds for beginners")</f>
        <v>Course of Linux servers in hundreds for beginners</v>
      </c>
      <c r="F535" s="36" t="s">
        <v>5626</v>
      </c>
      <c r="G535" s="45">
        <v>4.7661720000000001</v>
      </c>
      <c r="H535" s="45">
        <v>1.541666</v>
      </c>
      <c r="I535" s="46" t="s">
        <v>17</v>
      </c>
    </row>
    <row r="536" spans="1:9" ht="12.5">
      <c r="A536" s="47">
        <v>1615700</v>
      </c>
      <c r="B536" s="36" t="s">
        <v>597</v>
      </c>
      <c r="C536" s="36" t="s">
        <v>604</v>
      </c>
      <c r="D536" s="36" t="s">
        <v>5668</v>
      </c>
      <c r="E536" s="48" t="str">
        <f ca="1">IFERROR(__xludf.DUMMYFUNCTION("GOOGLETRANSLATE(D536)"),"Junior Systems Administrator on Windows Server and Linux")</f>
        <v>Junior Systems Administrator on Windows Server and Linux</v>
      </c>
      <c r="F536" s="36" t="s">
        <v>5666</v>
      </c>
      <c r="G536" s="45">
        <v>4.3401303000000002</v>
      </c>
      <c r="H536" s="45">
        <v>23.39</v>
      </c>
      <c r="I536" s="46" t="s">
        <v>17</v>
      </c>
    </row>
    <row r="537" spans="1:9" ht="12.5">
      <c r="A537" s="41">
        <v>1718846</v>
      </c>
      <c r="B537" s="42" t="s">
        <v>597</v>
      </c>
      <c r="C537" s="43" t="s">
        <v>604</v>
      </c>
      <c r="D537" s="36" t="s">
        <v>5669</v>
      </c>
      <c r="E537" s="48" t="str">
        <f ca="1">IFERROR(__xludf.DUMMYFUNCTION("GOOGLETRANSLATE(D537)"),"SQL Server: Programming procedures, triggers and functions")</f>
        <v>SQL Server: Programming procedures, triggers and functions</v>
      </c>
      <c r="F537" s="36" t="s">
        <v>5108</v>
      </c>
      <c r="G537" s="45">
        <v>3.9415870000000002</v>
      </c>
      <c r="H537" s="45">
        <v>1.894722</v>
      </c>
      <c r="I537" s="46" t="s">
        <v>17</v>
      </c>
    </row>
    <row r="538" spans="1:9" ht="12.5">
      <c r="A538" s="47">
        <v>1234216</v>
      </c>
      <c r="B538" s="36" t="s">
        <v>597</v>
      </c>
      <c r="C538" s="36" t="s">
        <v>604</v>
      </c>
      <c r="D538" s="36" t="s">
        <v>5670</v>
      </c>
      <c r="E538" s="48" t="str">
        <f ca="1">IFERROR(__xludf.DUMMYFUNCTION("GOOGLETRANSLATE(D538)"),"Implementing and administering Hyper-V in Windows Server 2016")</f>
        <v>Implementing and administering Hyper-V in Windows Server 2016</v>
      </c>
      <c r="F538" s="36" t="s">
        <v>4931</v>
      </c>
      <c r="G538" s="45">
        <v>4.3011847000000003</v>
      </c>
      <c r="H538" s="45">
        <v>10.653055</v>
      </c>
      <c r="I538" s="36" t="s">
        <v>21</v>
      </c>
    </row>
    <row r="539" spans="1:9" ht="12.5">
      <c r="A539" s="47">
        <v>920438</v>
      </c>
      <c r="B539" s="36" t="s">
        <v>597</v>
      </c>
      <c r="C539" s="36" t="s">
        <v>604</v>
      </c>
      <c r="D539" s="36" t="s">
        <v>5671</v>
      </c>
      <c r="E539" s="48" t="str">
        <f ca="1">IFERROR(__xludf.DUMMYFUNCTION("GOOGLETRANSLATE(D539)"),"Asterisk with FreePBX, telephony VoIP from scratch")</f>
        <v>Asterisk with FreePBX, telephony VoIP from scratch</v>
      </c>
      <c r="F539" s="36" t="s">
        <v>5672</v>
      </c>
      <c r="G539" s="45">
        <v>4.1537670000000002</v>
      </c>
      <c r="H539" s="45">
        <v>4.1363880000000002</v>
      </c>
      <c r="I539" s="36" t="s">
        <v>72</v>
      </c>
    </row>
    <row r="540" spans="1:9" ht="12.5">
      <c r="A540" s="47">
        <v>1772046</v>
      </c>
      <c r="B540" s="36" t="s">
        <v>597</v>
      </c>
      <c r="C540" s="36" t="s">
        <v>604</v>
      </c>
      <c r="D540" s="36" t="s">
        <v>5673</v>
      </c>
      <c r="E540" s="48" t="str">
        <f ca="1">IFERROR(__xludf.DUMMYFUNCTION("GOOGLETRANSLATE(D540)"),"Query Optimization with SQL Server 2008-2019")</f>
        <v>Query Optimization with SQL Server 2008-2019</v>
      </c>
      <c r="F540" s="36" t="s">
        <v>4945</v>
      </c>
      <c r="G540" s="45">
        <v>4.2893853000000002</v>
      </c>
      <c r="H540" s="45">
        <v>3.7124999999999999</v>
      </c>
      <c r="I540" s="36" t="s">
        <v>21</v>
      </c>
    </row>
    <row r="541" spans="1:9" ht="12.5">
      <c r="A541" s="47">
        <v>1135700</v>
      </c>
      <c r="B541" s="36" t="s">
        <v>597</v>
      </c>
      <c r="C541" s="36" t="s">
        <v>604</v>
      </c>
      <c r="D541" s="36" t="s">
        <v>5674</v>
      </c>
      <c r="E541" s="48" t="str">
        <f ca="1">IFERROR(__xludf.DUMMYFUNCTION("GOOGLETRANSLATE(D541)"),"Installing and Configuring Exchange Server 2016")</f>
        <v>Installing and Configuring Exchange Server 2016</v>
      </c>
      <c r="F541" s="36" t="s">
        <v>5675</v>
      </c>
      <c r="G541" s="45">
        <v>4.7039030000000004</v>
      </c>
      <c r="H541" s="45">
        <v>10.206666</v>
      </c>
      <c r="I541" s="36" t="s">
        <v>72</v>
      </c>
    </row>
    <row r="542" spans="1:9" ht="12.5">
      <c r="A542" s="47">
        <v>1113090</v>
      </c>
      <c r="B542" s="36" t="s">
        <v>597</v>
      </c>
      <c r="C542" s="36" t="s">
        <v>604</v>
      </c>
      <c r="D542" s="36" t="s">
        <v>5676</v>
      </c>
      <c r="E542" s="48" t="str">
        <f ca="1">IFERROR(__xludf.DUMMYFUNCTION("GOOGLETRANSLATE(D542)"),"Course C # programming for beginners SQL SERVER")</f>
        <v>Course C # programming for beginners SQL SERVER</v>
      </c>
      <c r="F542" s="36" t="s">
        <v>5677</v>
      </c>
      <c r="G542" s="45">
        <v>4.0404609999999996</v>
      </c>
      <c r="H542" s="45">
        <v>4.2122219999999997</v>
      </c>
      <c r="I542" s="36" t="s">
        <v>17</v>
      </c>
    </row>
    <row r="543" spans="1:9" ht="12.5">
      <c r="A543" s="47">
        <v>1020336</v>
      </c>
      <c r="B543" s="36" t="s">
        <v>597</v>
      </c>
      <c r="C543" s="36" t="s">
        <v>604</v>
      </c>
      <c r="D543" s="36" t="s">
        <v>5678</v>
      </c>
      <c r="E543" s="48" t="str">
        <f ca="1">IFERROR(__xludf.DUMMYFUNCTION("GOOGLETRANSLATE(D543)"),"Linux test server for Web development environments.")</f>
        <v>Linux test server for Web development environments.</v>
      </c>
      <c r="F543" s="36" t="s">
        <v>5679</v>
      </c>
      <c r="G543" s="45">
        <v>4.7423510000000002</v>
      </c>
      <c r="H543" s="45">
        <v>3.591666</v>
      </c>
      <c r="I543" s="36" t="s">
        <v>21</v>
      </c>
    </row>
    <row r="544" spans="1:9" ht="12.5">
      <c r="A544" s="47">
        <v>1759102</v>
      </c>
      <c r="B544" s="36" t="s">
        <v>597</v>
      </c>
      <c r="C544" s="36" t="s">
        <v>604</v>
      </c>
      <c r="D544" s="36" t="s">
        <v>5680</v>
      </c>
      <c r="E544" s="48" t="str">
        <f ca="1">IFERROR(__xludf.DUMMYFUNCTION("GOOGLETRANSLATE(D544)"),"Implementation of Servers with Linux CentOS (Module I)")</f>
        <v>Implementation of Servers with Linux CentOS (Module I)</v>
      </c>
      <c r="F544" s="36" t="s">
        <v>5681</v>
      </c>
      <c r="G544" s="45">
        <v>4.3079349999999996</v>
      </c>
      <c r="H544" s="45">
        <v>14.078611</v>
      </c>
      <c r="I544" s="36" t="s">
        <v>21</v>
      </c>
    </row>
    <row r="545" spans="1:9" ht="12.5">
      <c r="A545" s="47">
        <v>260352</v>
      </c>
      <c r="B545" s="36" t="s">
        <v>597</v>
      </c>
      <c r="C545" s="36" t="s">
        <v>604</v>
      </c>
      <c r="D545" s="36" t="s">
        <v>5682</v>
      </c>
      <c r="E545" s="48" t="str">
        <f ca="1">IFERROR(__xludf.DUMMYFUNCTION("GOOGLETRANSLATE(D545)"),"Panel View Plus program from scratch")</f>
        <v>Panel View Plus program from scratch</v>
      </c>
      <c r="F545" s="36" t="s">
        <v>5683</v>
      </c>
      <c r="G545" s="45">
        <v>4.3685299999999998</v>
      </c>
      <c r="H545" s="45">
        <v>9.4180550000000007</v>
      </c>
      <c r="I545" s="36" t="s">
        <v>72</v>
      </c>
    </row>
    <row r="546" spans="1:9" ht="12.5">
      <c r="A546" s="47">
        <v>934156</v>
      </c>
      <c r="B546" s="36" t="s">
        <v>672</v>
      </c>
      <c r="C546" s="36" t="s">
        <v>677</v>
      </c>
      <c r="D546" s="36" t="s">
        <v>5684</v>
      </c>
      <c r="E546" s="48" t="str">
        <f ca="1">IFERROR(__xludf.DUMMYFUNCTION("GOOGLETRANSLATE(D546)"),"Communication - Leadership Fundamentals 1")</f>
        <v>Communication - Leadership Fundamentals 1</v>
      </c>
      <c r="F546" s="36" t="s">
        <v>5685</v>
      </c>
      <c r="G546" s="45">
        <v>4.6184609999999999</v>
      </c>
      <c r="H546" s="45">
        <v>1.49</v>
      </c>
      <c r="I546" s="36" t="s">
        <v>17</v>
      </c>
    </row>
    <row r="547" spans="1:9" ht="12.5">
      <c r="A547" s="47">
        <v>1744780</v>
      </c>
      <c r="B547" s="36" t="s">
        <v>672</v>
      </c>
      <c r="C547" s="36" t="s">
        <v>677</v>
      </c>
      <c r="D547" s="36" t="s">
        <v>5686</v>
      </c>
      <c r="E547" s="48" t="str">
        <f ca="1">IFERROR(__xludf.DUMMYFUNCTION("GOOGLETRANSLATE(D547)"),"Secrets of Effective Presentations: Storytelling")</f>
        <v>Secrets of Effective Presentations: Storytelling</v>
      </c>
      <c r="F547" s="36" t="s">
        <v>5687</v>
      </c>
      <c r="G547" s="45">
        <v>4.4642619999999997</v>
      </c>
      <c r="H547" s="45">
        <v>1.013611</v>
      </c>
      <c r="I547" s="36" t="s">
        <v>21</v>
      </c>
    </row>
    <row r="548" spans="1:9" ht="12.5">
      <c r="A548" s="47">
        <v>1433338</v>
      </c>
      <c r="B548" s="36" t="s">
        <v>672</v>
      </c>
      <c r="C548" s="36" t="s">
        <v>677</v>
      </c>
      <c r="D548" s="36" t="s">
        <v>5688</v>
      </c>
      <c r="E548" s="48" t="str">
        <f ca="1">IFERROR(__xludf.DUMMYFUNCTION("GOOGLETRANSLATE(D548)"),"Effective Communication and Assertive")</f>
        <v>Effective Communication and Assertive</v>
      </c>
      <c r="F548" s="36" t="s">
        <v>5689</v>
      </c>
      <c r="G548" s="45">
        <v>4.1179338000000003</v>
      </c>
      <c r="H548" s="45">
        <v>2.074166</v>
      </c>
      <c r="I548" s="36" t="s">
        <v>21</v>
      </c>
    </row>
    <row r="549" spans="1:9" ht="12.5">
      <c r="A549" s="47">
        <v>1649876</v>
      </c>
      <c r="B549" s="36" t="s">
        <v>672</v>
      </c>
      <c r="C549" s="36" t="s">
        <v>677</v>
      </c>
      <c r="D549" s="36" t="s">
        <v>5690</v>
      </c>
      <c r="E549" s="48" t="str">
        <f ca="1">IFERROR(__xludf.DUMMYFUNCTION("GOOGLETRANSLATE(D549)"),"Communication for Leaders, Managers and Influencers")</f>
        <v>Communication for Leaders, Managers and Influencers</v>
      </c>
      <c r="F549" s="36" t="s">
        <v>5691</v>
      </c>
      <c r="G549" s="45">
        <v>4.6025099999999997</v>
      </c>
      <c r="H549" s="45">
        <v>5.0247219999999997</v>
      </c>
      <c r="I549" s="36" t="s">
        <v>21</v>
      </c>
    </row>
    <row r="550" spans="1:9" ht="12.5">
      <c r="A550" s="47">
        <v>922644</v>
      </c>
      <c r="B550" s="36" t="s">
        <v>672</v>
      </c>
      <c r="C550" s="36" t="s">
        <v>677</v>
      </c>
      <c r="D550" s="36" t="s">
        <v>5692</v>
      </c>
      <c r="E550" s="48" t="str">
        <f ca="1">IFERROR(__xludf.DUMMYFUNCTION("GOOGLETRANSLATE(D550)"),"Convince your customers with effective presentations 100%")</f>
        <v>Convince your customers with effective presentations 100%</v>
      </c>
      <c r="F550" s="36" t="s">
        <v>5693</v>
      </c>
      <c r="G550" s="45">
        <v>4.5854483000000004</v>
      </c>
      <c r="H550" s="45">
        <v>2.808611</v>
      </c>
      <c r="I550" s="36" t="s">
        <v>17</v>
      </c>
    </row>
    <row r="551" spans="1:9" ht="12.5">
      <c r="A551" s="47">
        <v>1257664</v>
      </c>
      <c r="B551" s="36" t="s">
        <v>672</v>
      </c>
      <c r="C551" s="36" t="s">
        <v>677</v>
      </c>
      <c r="D551" s="36" t="s">
        <v>5694</v>
      </c>
      <c r="E551" s="48" t="str">
        <f ca="1">IFERROR(__xludf.DUMMYFUNCTION("GOOGLETRANSLATE(D551)"),"Speaking Secrets of a former CEO / The best course qualified")</f>
        <v>Speaking Secrets of a former CEO / The best course qualified</v>
      </c>
      <c r="F551" s="36" t="s">
        <v>5695</v>
      </c>
      <c r="G551" s="45">
        <v>4.4045934999999998</v>
      </c>
      <c r="H551" s="45">
        <v>0.87611099999999997</v>
      </c>
      <c r="I551" s="36" t="s">
        <v>21</v>
      </c>
    </row>
    <row r="552" spans="1:9" ht="12.5">
      <c r="A552" s="47">
        <v>255564</v>
      </c>
      <c r="B552" s="36" t="s">
        <v>672</v>
      </c>
      <c r="C552" s="36" t="s">
        <v>677</v>
      </c>
      <c r="D552" s="36" t="s">
        <v>5696</v>
      </c>
      <c r="E552" s="48" t="str">
        <f ca="1">IFERROR(__xludf.DUMMYFUNCTION("GOOGLETRANSLATE(D552)"),"Learn how to resolve conflicts and be discrepancies")</f>
        <v>Learn how to resolve conflicts and be discrepancies</v>
      </c>
      <c r="F552" s="36" t="s">
        <v>5697</v>
      </c>
      <c r="G552" s="45">
        <v>4.5571957000000003</v>
      </c>
      <c r="H552" s="45">
        <v>1.6230549999999999</v>
      </c>
      <c r="I552" s="36" t="s">
        <v>21</v>
      </c>
    </row>
    <row r="553" spans="1:9" ht="12.5">
      <c r="A553" s="47">
        <v>99934</v>
      </c>
      <c r="B553" s="36" t="s">
        <v>672</v>
      </c>
      <c r="C553" s="36" t="s">
        <v>677</v>
      </c>
      <c r="D553" s="36" t="s">
        <v>5698</v>
      </c>
      <c r="E553" s="48" t="str">
        <f ca="1">IFERROR(__xludf.DUMMYFUNCTION("GOOGLETRANSLATE(D553)"),"How to make, win your audience and convince!")</f>
        <v>How to make, win your audience and convince!</v>
      </c>
      <c r="F553" s="36" t="s">
        <v>5699</v>
      </c>
      <c r="G553" s="45">
        <v>4.6811294999999999</v>
      </c>
      <c r="H553" s="45">
        <v>2.0261110000000002</v>
      </c>
      <c r="I553" s="36" t="s">
        <v>72</v>
      </c>
    </row>
    <row r="554" spans="1:9" ht="12.5">
      <c r="A554" s="47">
        <v>1698124</v>
      </c>
      <c r="B554" s="36" t="s">
        <v>672</v>
      </c>
      <c r="C554" s="36" t="s">
        <v>677</v>
      </c>
      <c r="D554" s="36" t="s">
        <v>5700</v>
      </c>
      <c r="E554" s="48" t="str">
        <f ca="1">IFERROR(__xludf.DUMMYFUNCTION("GOOGLETRANSLATE(D554)"),"Master in Public Speaking: Convince and seduces public speaking.")</f>
        <v>Master in Public Speaking: Convince and seduces public speaking.</v>
      </c>
      <c r="F554" s="36" t="s">
        <v>5701</v>
      </c>
      <c r="G554" s="45">
        <v>4.4211650000000002</v>
      </c>
      <c r="H554" s="45">
        <v>5.2324999999999999</v>
      </c>
      <c r="I554" s="36" t="s">
        <v>259</v>
      </c>
    </row>
    <row r="555" spans="1:9" ht="12.5">
      <c r="A555" s="47">
        <v>149536</v>
      </c>
      <c r="B555" s="36" t="s">
        <v>672</v>
      </c>
      <c r="C555" s="36" t="s">
        <v>677</v>
      </c>
      <c r="D555" s="36" t="s">
        <v>5702</v>
      </c>
      <c r="E555" s="48" t="str">
        <f ca="1">IFERROR(__xludf.DUMMYFUNCTION("GOOGLETRANSLATE(D555)"),"13 Steps to speak in public (13 steps)")</f>
        <v>13 Steps to speak in public (13 steps)</v>
      </c>
      <c r="F555" s="36" t="s">
        <v>5703</v>
      </c>
      <c r="G555" s="45">
        <v>4.1426454000000001</v>
      </c>
      <c r="H555" s="45">
        <v>0.69694400000000001</v>
      </c>
      <c r="I555" s="36" t="s">
        <v>21</v>
      </c>
    </row>
    <row r="556" spans="1:9" ht="12.5">
      <c r="A556" s="47">
        <v>472056</v>
      </c>
      <c r="B556" s="36" t="s">
        <v>672</v>
      </c>
      <c r="C556" s="36" t="s">
        <v>677</v>
      </c>
      <c r="D556" s="36" t="s">
        <v>5704</v>
      </c>
      <c r="E556" s="48" t="str">
        <f ca="1">IFERROR(__xludf.DUMMYFUNCTION("GOOGLETRANSLATE(D556)"),"Communicative Skills (Complete Guide)")</f>
        <v>Communicative Skills (Complete Guide)</v>
      </c>
      <c r="F556" s="36" t="s">
        <v>5705</v>
      </c>
      <c r="G556" s="45">
        <v>4.1706099999999999</v>
      </c>
      <c r="H556" s="45">
        <v>9.976388</v>
      </c>
      <c r="I556" s="36" t="s">
        <v>21</v>
      </c>
    </row>
    <row r="557" spans="1:9" ht="12.5">
      <c r="A557" s="47">
        <v>164812</v>
      </c>
      <c r="B557" s="36" t="s">
        <v>672</v>
      </c>
      <c r="C557" s="36" t="s">
        <v>677</v>
      </c>
      <c r="D557" s="36" t="s">
        <v>5706</v>
      </c>
      <c r="E557" s="48" t="str">
        <f ca="1">IFERROR(__xludf.DUMMYFUNCTION("GOOGLETRANSLATE(D557)"),"How to Have Good Voice: The Secret Of The Professionals")</f>
        <v>How to Have Good Voice: The Secret Of The Professionals</v>
      </c>
      <c r="F557" s="36" t="s">
        <v>5707</v>
      </c>
      <c r="G557" s="45">
        <v>4.2386980000000003</v>
      </c>
      <c r="H557" s="45">
        <v>7.1855549999999999</v>
      </c>
      <c r="I557" s="36" t="s">
        <v>21</v>
      </c>
    </row>
    <row r="558" spans="1:9" ht="12.5">
      <c r="A558" s="47">
        <v>1913218</v>
      </c>
      <c r="B558" s="36" t="s">
        <v>672</v>
      </c>
      <c r="C558" s="36" t="s">
        <v>677</v>
      </c>
      <c r="D558" s="36" t="s">
        <v>5708</v>
      </c>
      <c r="E558" s="48" t="str">
        <f ca="1">IFERROR(__xludf.DUMMYFUNCTION("GOOGLETRANSLATE(D558)"),"Intercultural communication")</f>
        <v>Intercultural communication</v>
      </c>
      <c r="F558" s="36" t="s">
        <v>5709</v>
      </c>
      <c r="G558" s="45">
        <v>4.6564680000000003</v>
      </c>
      <c r="H558" s="45">
        <v>1.4291659999999999</v>
      </c>
      <c r="I558" s="36" t="s">
        <v>21</v>
      </c>
    </row>
    <row r="559" spans="1:9" ht="12.5">
      <c r="A559" s="47">
        <v>2819683</v>
      </c>
      <c r="B559" s="36" t="s">
        <v>672</v>
      </c>
      <c r="C559" s="36" t="s">
        <v>677</v>
      </c>
      <c r="D559" s="36" t="s">
        <v>5710</v>
      </c>
      <c r="E559" s="48" t="str">
        <f ca="1">IFERROR(__xludf.DUMMYFUNCTION("GOOGLETRANSLATE(D559)"),"Neuro Speaking: Public Speaking Scientifically")</f>
        <v>Neuro Speaking: Public Speaking Scientifically</v>
      </c>
      <c r="F559" s="36" t="s">
        <v>5701</v>
      </c>
      <c r="G559" s="45">
        <v>4.4901530000000003</v>
      </c>
      <c r="H559" s="45">
        <v>9.9952769999999997</v>
      </c>
      <c r="I559" s="36" t="s">
        <v>21</v>
      </c>
    </row>
    <row r="560" spans="1:9" ht="12.5">
      <c r="A560" s="47">
        <v>2474852</v>
      </c>
      <c r="B560" s="36" t="s">
        <v>672</v>
      </c>
      <c r="C560" s="36" t="s">
        <v>677</v>
      </c>
      <c r="D560" s="36" t="s">
        <v>5711</v>
      </c>
      <c r="E560" s="48" t="str">
        <f ca="1">IFERROR(__xludf.DUMMYFUNCTION("GOOGLETRANSLATE(D560)"),"Course Personal Brand Complete: Leads and Inspires")</f>
        <v>Course Personal Brand Complete: Leads and Inspires</v>
      </c>
      <c r="F560" s="36" t="s">
        <v>5067</v>
      </c>
      <c r="G560" s="45">
        <v>4.6555859999999996</v>
      </c>
      <c r="H560" s="45">
        <v>3.1955550000000001</v>
      </c>
      <c r="I560" s="36" t="s">
        <v>21</v>
      </c>
    </row>
    <row r="561" spans="1:9" ht="12.5">
      <c r="A561" s="47">
        <v>1131440</v>
      </c>
      <c r="B561" s="36" t="s">
        <v>672</v>
      </c>
      <c r="C561" s="36" t="s">
        <v>677</v>
      </c>
      <c r="D561" s="36" t="s">
        <v>5712</v>
      </c>
      <c r="E561" s="48" t="str">
        <f ca="1">IFERROR(__xludf.DUMMYFUNCTION("GOOGLETRANSLATE(D561)"),"Become an excellent communicator in public")</f>
        <v>Become an excellent communicator in public</v>
      </c>
      <c r="F561" s="36" t="s">
        <v>5713</v>
      </c>
      <c r="G561" s="45">
        <v>4.3735603999999997</v>
      </c>
      <c r="H561" s="45">
        <v>1.2424999999999999</v>
      </c>
      <c r="I561" s="36" t="s">
        <v>21</v>
      </c>
    </row>
    <row r="562" spans="1:9" ht="12.5">
      <c r="A562" s="47">
        <v>1354962</v>
      </c>
      <c r="B562" s="36" t="s">
        <v>672</v>
      </c>
      <c r="C562" s="36" t="s">
        <v>677</v>
      </c>
      <c r="D562" s="36" t="s">
        <v>5714</v>
      </c>
      <c r="E562" s="48" t="str">
        <f ca="1">IFERROR(__xludf.DUMMYFUNCTION("GOOGLETRANSLATE(D562)"),"Comunicador @ Superestrella")</f>
        <v>Comunicador @ Superestrella</v>
      </c>
      <c r="F562" s="36" t="s">
        <v>5691</v>
      </c>
      <c r="G562" s="45">
        <v>3.8178537000000001</v>
      </c>
      <c r="H562" s="45">
        <v>5.3797220000000001</v>
      </c>
      <c r="I562" s="36" t="s">
        <v>21</v>
      </c>
    </row>
    <row r="563" spans="1:9" ht="12.5">
      <c r="A563" s="47">
        <v>1868882</v>
      </c>
      <c r="B563" s="36" t="s">
        <v>672</v>
      </c>
      <c r="C563" s="36" t="s">
        <v>677</v>
      </c>
      <c r="D563" s="36" t="s">
        <v>5715</v>
      </c>
      <c r="E563" s="48" t="str">
        <f ca="1">IFERROR(__xludf.DUMMYFUNCTION("GOOGLETRANSLATE(D563)"),"Creative negotiation - the Harvard Negotiation Model")</f>
        <v>Creative negotiation - the Harvard Negotiation Model</v>
      </c>
      <c r="F563" s="36" t="s">
        <v>5701</v>
      </c>
      <c r="G563" s="45">
        <v>4.6494308000000002</v>
      </c>
      <c r="H563" s="45">
        <v>2.6427770000000002</v>
      </c>
      <c r="I563" s="36" t="s">
        <v>21</v>
      </c>
    </row>
    <row r="564" spans="1:9" ht="12.5">
      <c r="A564" s="47">
        <v>1770590</v>
      </c>
      <c r="B564" s="36" t="s">
        <v>672</v>
      </c>
      <c r="C564" s="36" t="s">
        <v>677</v>
      </c>
      <c r="D564" s="36" t="s">
        <v>5716</v>
      </c>
      <c r="E564" s="48" t="str">
        <f ca="1">IFERROR(__xludf.DUMMYFUNCTION("GOOGLETRANSLATE(D564)"),"TJ Walker course on public speaking 1 hour")</f>
        <v>TJ Walker course on public speaking 1 hour</v>
      </c>
      <c r="F564" s="36" t="s">
        <v>1764</v>
      </c>
      <c r="G564" s="45">
        <v>4.3981776000000004</v>
      </c>
      <c r="H564" s="45">
        <v>0.90333300000000005</v>
      </c>
      <c r="I564" s="36" t="s">
        <v>17</v>
      </c>
    </row>
    <row r="565" spans="1:9" ht="12.5">
      <c r="A565" s="41">
        <v>2022398</v>
      </c>
      <c r="B565" s="42" t="s">
        <v>672</v>
      </c>
      <c r="C565" s="43" t="s">
        <v>677</v>
      </c>
      <c r="D565" s="36" t="s">
        <v>5717</v>
      </c>
      <c r="E565" s="48" t="str">
        <f ca="1">IFERROR(__xludf.DUMMYFUNCTION("GOOGLETRANSLATE(D565)"),"Learn to write the 20 kinds of basic texts easily")</f>
        <v>Learn to write the 20 kinds of basic texts easily</v>
      </c>
      <c r="F565" s="36" t="s">
        <v>5718</v>
      </c>
      <c r="G565" s="45">
        <v>4.6534040000000001</v>
      </c>
      <c r="H565" s="45">
        <v>3.8005550000000001</v>
      </c>
      <c r="I565" s="46" t="s">
        <v>17</v>
      </c>
    </row>
    <row r="566" spans="1:9" ht="12.5">
      <c r="A566" s="47">
        <v>1051702</v>
      </c>
      <c r="B566" s="36" t="s">
        <v>672</v>
      </c>
      <c r="C566" s="36" t="s">
        <v>677</v>
      </c>
      <c r="D566" s="36" t="s">
        <v>5719</v>
      </c>
      <c r="E566" s="48" t="str">
        <f ca="1">IFERROR(__xludf.DUMMYFUNCTION("GOOGLETRANSLATE(D566)"),"Skilled trades as")</f>
        <v>Skilled trades as</v>
      </c>
      <c r="F566" s="36" t="s">
        <v>5720</v>
      </c>
      <c r="G566" s="45">
        <v>3.4873270000000001</v>
      </c>
      <c r="H566" s="45">
        <v>2.388611</v>
      </c>
      <c r="I566" s="36" t="s">
        <v>72</v>
      </c>
    </row>
    <row r="567" spans="1:9" ht="12.5">
      <c r="A567" s="47">
        <v>2773648</v>
      </c>
      <c r="B567" s="36" t="s">
        <v>672</v>
      </c>
      <c r="C567" s="36" t="s">
        <v>677</v>
      </c>
      <c r="D567" s="36" t="s">
        <v>5721</v>
      </c>
      <c r="E567" s="48" t="str">
        <f ca="1">IFERROR(__xludf.DUMMYFUNCTION("GOOGLETRANSLATE(D567)"),"The Art of the Story")</f>
        <v>The Art of the Story</v>
      </c>
      <c r="F567" s="36" t="s">
        <v>5722</v>
      </c>
      <c r="G567" s="45">
        <v>4.6015600000000001</v>
      </c>
      <c r="H567" s="45">
        <v>8.9427769999999995</v>
      </c>
      <c r="I567" s="46" t="s">
        <v>72</v>
      </c>
    </row>
    <row r="568" spans="1:9" ht="12.5">
      <c r="A568" s="47">
        <v>2293615</v>
      </c>
      <c r="B568" s="36" t="s">
        <v>672</v>
      </c>
      <c r="C568" s="36" t="s">
        <v>677</v>
      </c>
      <c r="D568" s="36" t="s">
        <v>5723</v>
      </c>
      <c r="E568" s="48" t="str">
        <f ca="1">IFERROR(__xludf.DUMMYFUNCTION("GOOGLETRANSLATE(D568)"),"Advanced communication: Active Listening, Empathy and Assertiveness")</f>
        <v>Advanced communication: Active Listening, Empathy and Assertiveness</v>
      </c>
      <c r="F568" s="36" t="s">
        <v>5701</v>
      </c>
      <c r="G568" s="45">
        <v>4.6526265000000002</v>
      </c>
      <c r="H568" s="45">
        <v>4.326111</v>
      </c>
      <c r="I568" s="46" t="s">
        <v>259</v>
      </c>
    </row>
    <row r="569" spans="1:9" ht="12.5">
      <c r="A569" s="41">
        <v>1534484</v>
      </c>
      <c r="B569" s="42" t="s">
        <v>672</v>
      </c>
      <c r="C569" s="43" t="s">
        <v>681</v>
      </c>
      <c r="D569" s="36" t="s">
        <v>5724</v>
      </c>
      <c r="E569" s="48" t="str">
        <f ca="1">IFERROR(__xludf.DUMMYFUNCTION("GOOGLETRANSLATE(D569)"),"Leadership and Team Management | 2020 certification")</f>
        <v>Leadership and Team Management | 2020 certification</v>
      </c>
      <c r="F569" s="36" t="s">
        <v>5725</v>
      </c>
      <c r="G569" s="45">
        <v>4.3040859999999999</v>
      </c>
      <c r="H569" s="45">
        <v>2.4488880000000002</v>
      </c>
      <c r="I569" s="46" t="s">
        <v>21</v>
      </c>
    </row>
    <row r="570" spans="1:9" ht="12.5">
      <c r="A570" s="41">
        <v>968564</v>
      </c>
      <c r="B570" s="42" t="s">
        <v>672</v>
      </c>
      <c r="C570" s="43" t="s">
        <v>681</v>
      </c>
      <c r="D570" s="36" t="s">
        <v>5726</v>
      </c>
      <c r="E570" s="48" t="str">
        <f ca="1">IFERROR(__xludf.DUMMYFUNCTION("GOOGLETRANSLATE(D570)"),"Time Management - Leadership Fundamentals 2")</f>
        <v>Time Management - Leadership Fundamentals 2</v>
      </c>
      <c r="F570" s="36" t="s">
        <v>5685</v>
      </c>
      <c r="G570" s="45">
        <v>4.4389120000000002</v>
      </c>
      <c r="H570" s="45">
        <v>2.0163880000000001</v>
      </c>
      <c r="I570" s="46" t="s">
        <v>17</v>
      </c>
    </row>
    <row r="571" spans="1:9" ht="12.5">
      <c r="A571" s="41">
        <v>245880</v>
      </c>
      <c r="B571" s="42" t="s">
        <v>672</v>
      </c>
      <c r="C571" s="43" t="s">
        <v>681</v>
      </c>
      <c r="D571" s="36" t="s">
        <v>5727</v>
      </c>
      <c r="E571" s="48" t="str">
        <f ca="1">IFERROR(__xludf.DUMMYFUNCTION("GOOGLETRANSLATE(D571)"),"Master in Emotional Intelligence and Soft Skills YPD")</f>
        <v>Master in Emotional Intelligence and Soft Skills YPD</v>
      </c>
      <c r="F571" s="36" t="s">
        <v>5703</v>
      </c>
      <c r="G571" s="45">
        <v>4.4346665999999999</v>
      </c>
      <c r="H571" s="45">
        <v>8.2572220000000005</v>
      </c>
      <c r="I571" s="46" t="s">
        <v>21</v>
      </c>
    </row>
    <row r="572" spans="1:9" ht="12.5">
      <c r="A572" s="47">
        <v>1521936</v>
      </c>
      <c r="B572" s="36" t="s">
        <v>672</v>
      </c>
      <c r="C572" s="36" t="s">
        <v>681</v>
      </c>
      <c r="D572" s="36" t="s">
        <v>5728</v>
      </c>
      <c r="E572" s="48" t="str">
        <f ca="1">IFERROR(__xludf.DUMMYFUNCTION("GOOGLETRANSLATE(D572)"),"emotional intelligence and its effect on your social skills")</f>
        <v>emotional intelligence and its effect on your social skills</v>
      </c>
      <c r="F572" s="36" t="s">
        <v>5691</v>
      </c>
      <c r="G572" s="45">
        <v>4.4497942999999998</v>
      </c>
      <c r="H572" s="45">
        <v>6.0075000000000003</v>
      </c>
      <c r="I572" s="46" t="s">
        <v>21</v>
      </c>
    </row>
    <row r="573" spans="1:9" ht="12.5">
      <c r="A573" s="41">
        <v>1001448</v>
      </c>
      <c r="B573" s="42" t="s">
        <v>672</v>
      </c>
      <c r="C573" s="43" t="s">
        <v>681</v>
      </c>
      <c r="D573" s="36" t="s">
        <v>5729</v>
      </c>
      <c r="E573" s="48" t="str">
        <f ca="1">IFERROR(__xludf.DUMMYFUNCTION("GOOGLETRANSLATE(D573)"),"Influence and Negotiation - Leadership Fundamentals 3")</f>
        <v>Influence and Negotiation - Leadership Fundamentals 3</v>
      </c>
      <c r="F573" s="36" t="s">
        <v>5685</v>
      </c>
      <c r="G573" s="45">
        <v>4.6204289999999997</v>
      </c>
      <c r="H573" s="45">
        <v>1.172777</v>
      </c>
      <c r="I573" s="46" t="s">
        <v>17</v>
      </c>
    </row>
    <row r="574" spans="1:9" ht="12.5">
      <c r="A574" s="47">
        <v>1028114</v>
      </c>
      <c r="B574" s="36" t="s">
        <v>672</v>
      </c>
      <c r="C574" s="36" t="s">
        <v>681</v>
      </c>
      <c r="D574" s="36" t="s">
        <v>5730</v>
      </c>
      <c r="E574" s="48" t="str">
        <f ca="1">IFERROR(__xludf.DUMMYFUNCTION("GOOGLETRANSLATE(D574)"),"Learn to lead your team, with 4 talks")</f>
        <v>Learn to lead your team, with 4 talks</v>
      </c>
      <c r="F574" s="36" t="s">
        <v>5731</v>
      </c>
      <c r="G574" s="45">
        <v>4.5806709999999997</v>
      </c>
      <c r="H574" s="45">
        <v>1.049722</v>
      </c>
      <c r="I574" s="46" t="s">
        <v>21</v>
      </c>
    </row>
    <row r="575" spans="1:9" ht="12.5">
      <c r="A575" s="41">
        <v>198952</v>
      </c>
      <c r="B575" s="42" t="s">
        <v>672</v>
      </c>
      <c r="C575" s="43" t="s">
        <v>681</v>
      </c>
      <c r="D575" s="36" t="s">
        <v>5732</v>
      </c>
      <c r="E575" s="48" t="str">
        <f ca="1">IFERROR(__xludf.DUMMYFUNCTION("GOOGLETRANSLATE(D575)"),"Basic skills to Develop Effective Leadership")</f>
        <v>Basic skills to Develop Effective Leadership</v>
      </c>
      <c r="F575" s="36" t="s">
        <v>5733</v>
      </c>
      <c r="G575" s="45">
        <v>4.5459975999999997</v>
      </c>
      <c r="H575" s="45">
        <v>2.1880549999999999</v>
      </c>
      <c r="I575" s="46" t="s">
        <v>21</v>
      </c>
    </row>
    <row r="576" spans="1:9" ht="12.5">
      <c r="A576" s="47">
        <v>1716582</v>
      </c>
      <c r="B576" s="36" t="s">
        <v>672</v>
      </c>
      <c r="C576" s="36" t="s">
        <v>681</v>
      </c>
      <c r="D576" s="36" t="s">
        <v>5734</v>
      </c>
      <c r="E576" s="48" t="str">
        <f ca="1">IFERROR(__xludf.DUMMYFUNCTION("GOOGLETRANSLATE(D576)"),"2020 Leadership Best Practices")</f>
        <v>2020 Leadership Best Practices</v>
      </c>
      <c r="F576" s="36" t="s">
        <v>5735</v>
      </c>
      <c r="G576" s="45">
        <v>4.3530144999999996</v>
      </c>
      <c r="H576" s="45">
        <v>2.8505549999999999</v>
      </c>
      <c r="I576" s="46" t="s">
        <v>21</v>
      </c>
    </row>
    <row r="577" spans="1:9" ht="12.5">
      <c r="A577" s="41">
        <v>1283316</v>
      </c>
      <c r="B577" s="36" t="s">
        <v>672</v>
      </c>
      <c r="C577" s="36" t="s">
        <v>681</v>
      </c>
      <c r="D577" s="36" t="s">
        <v>5736</v>
      </c>
      <c r="E577" s="48" t="str">
        <f ca="1">IFERROR(__xludf.DUMMYFUNCTION("GOOGLETRANSLATE(D577)"),"Empowerment and delegation - Foundations of Leadership 4")</f>
        <v>Empowerment and delegation - Foundations of Leadership 4</v>
      </c>
      <c r="F577" s="36" t="s">
        <v>5685</v>
      </c>
      <c r="G577" s="45">
        <v>4.1832580000000004</v>
      </c>
      <c r="H577" s="45">
        <v>0.86861100000000002</v>
      </c>
      <c r="I577" s="46" t="s">
        <v>17</v>
      </c>
    </row>
    <row r="578" spans="1:9" ht="12.5">
      <c r="A578" s="47">
        <v>2982132</v>
      </c>
      <c r="B578" s="36" t="s">
        <v>672</v>
      </c>
      <c r="C578" s="36" t="s">
        <v>681</v>
      </c>
      <c r="D578" s="36" t="s">
        <v>5737</v>
      </c>
      <c r="E578" s="48" t="str">
        <f ca="1">IFERROR(__xludf.DUMMYFUNCTION("GOOGLETRANSLATE(D578)"),"Leadership: Management Technology / Engineering 2020")</f>
        <v>Leadership: Management Technology / Engineering 2020</v>
      </c>
      <c r="F578" s="36" t="s">
        <v>5738</v>
      </c>
      <c r="G578" s="45">
        <v>4.5230769999999998</v>
      </c>
      <c r="H578" s="45">
        <v>2.913611</v>
      </c>
      <c r="I578" s="36" t="s">
        <v>21</v>
      </c>
    </row>
    <row r="579" spans="1:9" ht="12.5">
      <c r="A579" s="47">
        <v>1321194</v>
      </c>
      <c r="B579" s="36" t="s">
        <v>672</v>
      </c>
      <c r="C579" s="36" t="s">
        <v>681</v>
      </c>
      <c r="D579" s="36" t="s">
        <v>5739</v>
      </c>
      <c r="E579" s="48" t="str">
        <f ca="1">IFERROR(__xludf.DUMMYFUNCTION("GOOGLETRANSLATE(D579)"),"NLP for Leaders, Managers and Trainers")</f>
        <v>NLP for Leaders, Managers and Trainers</v>
      </c>
      <c r="F579" s="36" t="s">
        <v>5691</v>
      </c>
      <c r="G579" s="45">
        <v>4.4390869999999998</v>
      </c>
      <c r="H579" s="45">
        <v>6.8158329999999996</v>
      </c>
      <c r="I579" s="36" t="s">
        <v>21</v>
      </c>
    </row>
    <row r="580" spans="1:9" ht="12.5">
      <c r="A580" s="47">
        <v>554274</v>
      </c>
      <c r="B580" s="36" t="s">
        <v>672</v>
      </c>
      <c r="C580" s="36" t="s">
        <v>681</v>
      </c>
      <c r="D580" s="36" t="s">
        <v>5740</v>
      </c>
      <c r="E580" s="48" t="str">
        <f ca="1">IFERROR(__xludf.DUMMYFUNCTION("GOOGLETRANSLATE(D580)"),"Organize your team and make it more productive and efficient")</f>
        <v>Organize your team and make it more productive and efficient</v>
      </c>
      <c r="F580" s="36" t="s">
        <v>5741</v>
      </c>
      <c r="G580" s="45">
        <v>3.9386565999999998</v>
      </c>
      <c r="H580" s="45">
        <v>2.7450000000000001</v>
      </c>
      <c r="I580" s="36" t="s">
        <v>17</v>
      </c>
    </row>
    <row r="581" spans="1:9" ht="12.5">
      <c r="A581" s="47">
        <v>2332474</v>
      </c>
      <c r="B581" s="36" t="s">
        <v>672</v>
      </c>
      <c r="C581" s="36" t="s">
        <v>681</v>
      </c>
      <c r="D581" s="36" t="s">
        <v>5742</v>
      </c>
      <c r="E581" s="48" t="str">
        <f ca="1">IFERROR(__xludf.DUMMYFUNCTION("GOOGLETRANSLATE(D581)"),"Leadership Increase your level of influence Power and Authority")</f>
        <v>Leadership Increase your level of influence Power and Authority</v>
      </c>
      <c r="F581" s="36" t="s">
        <v>5701</v>
      </c>
      <c r="G581" s="45">
        <v>4.5631899999999996</v>
      </c>
      <c r="H581" s="45">
        <v>2.5975000000000001</v>
      </c>
      <c r="I581" s="36" t="s">
        <v>259</v>
      </c>
    </row>
    <row r="582" spans="1:9" ht="12.5">
      <c r="A582" s="47">
        <v>1744408</v>
      </c>
      <c r="B582" s="36" t="s">
        <v>672</v>
      </c>
      <c r="C582" s="36" t="s">
        <v>681</v>
      </c>
      <c r="D582" s="36" t="s">
        <v>5743</v>
      </c>
      <c r="E582" s="48" t="str">
        <f ca="1">IFERROR(__xludf.DUMMYFUNCTION("GOOGLETRANSLATE(D582)"),"Sensory Leadership - A New Model of Integral Leadership")</f>
        <v>Sensory Leadership - A New Model of Integral Leadership</v>
      </c>
      <c r="F582" s="36" t="s">
        <v>5701</v>
      </c>
      <c r="G582" s="45">
        <v>4.8448114000000002</v>
      </c>
      <c r="H582" s="45">
        <v>4.3936109999999999</v>
      </c>
      <c r="I582" s="36" t="s">
        <v>21</v>
      </c>
    </row>
    <row r="583" spans="1:9" ht="12.5">
      <c r="A583" s="47">
        <v>1456036</v>
      </c>
      <c r="B583" s="36" t="s">
        <v>672</v>
      </c>
      <c r="C583" s="36" t="s">
        <v>681</v>
      </c>
      <c r="D583" s="36" t="s">
        <v>5744</v>
      </c>
      <c r="E583" s="48" t="str">
        <f ca="1">IFERROR(__xludf.DUMMYFUNCTION("GOOGLETRANSLATE(D583)"),"Master Leadership")</f>
        <v>Master Leadership</v>
      </c>
      <c r="F583" s="36" t="s">
        <v>5745</v>
      </c>
      <c r="G583" s="45">
        <v>4.4525813999999997</v>
      </c>
      <c r="H583" s="45">
        <v>3.0977769999999998</v>
      </c>
      <c r="I583" s="36" t="s">
        <v>17</v>
      </c>
    </row>
    <row r="584" spans="1:9" ht="12.5">
      <c r="A584" s="47">
        <v>2085006</v>
      </c>
      <c r="B584" s="36" t="s">
        <v>672</v>
      </c>
      <c r="C584" s="36" t="s">
        <v>673</v>
      </c>
      <c r="D584" s="36" t="s">
        <v>5746</v>
      </c>
      <c r="E584" s="48" t="str">
        <f ca="1">IFERROR(__xludf.DUMMYFUNCTION("GOOGLETRANSLATE(D584)"),"As SCRUM and XP implement in your company or project")</f>
        <v>As SCRUM and XP implement in your company or project</v>
      </c>
      <c r="F584" s="36" t="s">
        <v>5169</v>
      </c>
      <c r="G584" s="45">
        <v>4.6123810000000001</v>
      </c>
      <c r="H584" s="45">
        <v>2.5794440000000001</v>
      </c>
      <c r="I584" s="36" t="s">
        <v>21</v>
      </c>
    </row>
    <row r="585" spans="1:9" ht="12.5">
      <c r="A585" s="47">
        <v>1980928</v>
      </c>
      <c r="B585" s="36" t="s">
        <v>672</v>
      </c>
      <c r="C585" s="36" t="s">
        <v>673</v>
      </c>
      <c r="D585" s="36" t="s">
        <v>5747</v>
      </c>
      <c r="E585" s="48" t="str">
        <f ca="1">IFERROR(__xludf.DUMMYFUNCTION("GOOGLETRANSLATE(D585)"),"Incoterms®: The Language of International Trade")</f>
        <v>Incoterms®: The Language of International Trade</v>
      </c>
      <c r="F585" s="36" t="s">
        <v>5748</v>
      </c>
      <c r="G585" s="45">
        <v>4.8186900000000001</v>
      </c>
      <c r="H585" s="45">
        <v>1.911111</v>
      </c>
      <c r="I585" s="36" t="s">
        <v>21</v>
      </c>
    </row>
    <row r="586" spans="1:9" ht="12.5">
      <c r="A586" s="47">
        <v>404502</v>
      </c>
      <c r="B586" s="36" t="s">
        <v>672</v>
      </c>
      <c r="C586" s="36" t="s">
        <v>695</v>
      </c>
      <c r="D586" s="36" t="s">
        <v>5749</v>
      </c>
      <c r="E586" s="48" t="str">
        <f ca="1">IFERROR(__xludf.DUMMYFUNCTION("GOOGLETRANSLATE(D586)"),"Distilled Innovation: Creativity to Results")</f>
        <v>Distilled Innovation: Creativity to Results</v>
      </c>
      <c r="F586" s="36" t="s">
        <v>5750</v>
      </c>
      <c r="G586" s="45">
        <v>4.1639556999999998</v>
      </c>
      <c r="H586" s="45">
        <v>0.72861100000000001</v>
      </c>
      <c r="I586" s="36" t="s">
        <v>21</v>
      </c>
    </row>
    <row r="587" spans="1:9" ht="12.5">
      <c r="A587" s="47">
        <v>932624</v>
      </c>
      <c r="B587" s="36" t="s">
        <v>672</v>
      </c>
      <c r="C587" s="36" t="s">
        <v>695</v>
      </c>
      <c r="D587" s="36" t="s">
        <v>5751</v>
      </c>
      <c r="E587" s="48" t="str">
        <f ca="1">IFERROR(__xludf.DUMMYFUNCTION("GOOGLETRANSLATE(D587)"),"Digital processing for businesses and professionals.")</f>
        <v>Digital processing for businesses and professionals.</v>
      </c>
      <c r="F587" s="36" t="s">
        <v>5752</v>
      </c>
      <c r="G587" s="45">
        <v>4.2039765999999998</v>
      </c>
      <c r="H587" s="45">
        <v>16.165832999999999</v>
      </c>
      <c r="I587" s="36" t="s">
        <v>72</v>
      </c>
    </row>
    <row r="588" spans="1:9" ht="12.5">
      <c r="A588" s="47">
        <v>84600</v>
      </c>
      <c r="B588" s="36" t="s">
        <v>672</v>
      </c>
      <c r="C588" s="36" t="s">
        <v>695</v>
      </c>
      <c r="D588" s="36" t="s">
        <v>5753</v>
      </c>
      <c r="E588" s="48" t="str">
        <f ca="1">IFERROR(__xludf.DUMMYFUNCTION("GOOGLETRANSLATE(D588)"),"How to bring about positive changes in the organization")</f>
        <v>How to bring about positive changes in the organization</v>
      </c>
      <c r="F588" s="36" t="s">
        <v>5754</v>
      </c>
      <c r="G588" s="45">
        <v>4.6930037000000002</v>
      </c>
      <c r="H588" s="45">
        <v>1.513055</v>
      </c>
      <c r="I588" s="36" t="s">
        <v>21</v>
      </c>
    </row>
    <row r="589" spans="1:9" ht="12.5">
      <c r="A589" s="47">
        <v>948232</v>
      </c>
      <c r="B589" s="36" t="s">
        <v>672</v>
      </c>
      <c r="C589" s="36" t="s">
        <v>695</v>
      </c>
      <c r="D589" s="36" t="s">
        <v>5755</v>
      </c>
      <c r="E589" s="48" t="str">
        <f ca="1">IFERROR(__xludf.DUMMYFUNCTION("GOOGLETRANSLATE(D589)"),"Cognotécnicas: Tools to think more and better")</f>
        <v>Cognotécnicas: Tools to think more and better</v>
      </c>
      <c r="F589" s="36" t="s">
        <v>5582</v>
      </c>
      <c r="G589" s="45">
        <v>4.4163823000000004</v>
      </c>
      <c r="H589" s="45">
        <v>2.7097220000000002</v>
      </c>
      <c r="I589" s="36" t="s">
        <v>17</v>
      </c>
    </row>
    <row r="590" spans="1:9" ht="12.5">
      <c r="A590" s="47">
        <v>1230710</v>
      </c>
      <c r="B590" s="36" t="s">
        <v>672</v>
      </c>
      <c r="C590" s="36" t="s">
        <v>695</v>
      </c>
      <c r="D590" s="36" t="s">
        <v>5756</v>
      </c>
      <c r="E590" s="48" t="str">
        <f ca="1">IFERROR(__xludf.DUMMYFUNCTION("GOOGLETRANSLATE(D590)"),"Business Strategy: Become a Strategic Consultant")</f>
        <v>Business Strategy: Become a Strategic Consultant</v>
      </c>
      <c r="F590" s="36" t="s">
        <v>5757</v>
      </c>
      <c r="G590" s="45">
        <v>4.2009935</v>
      </c>
      <c r="H590" s="45">
        <v>1.2972220000000001</v>
      </c>
      <c r="I590" s="36" t="s">
        <v>21</v>
      </c>
    </row>
    <row r="591" spans="1:9" ht="12.5">
      <c r="A591" s="41">
        <v>33577</v>
      </c>
      <c r="B591" s="42" t="s">
        <v>672</v>
      </c>
      <c r="C591" s="43" t="s">
        <v>695</v>
      </c>
      <c r="D591" s="36" t="s">
        <v>5758</v>
      </c>
      <c r="E591" s="48" t="str">
        <f ca="1">IFERROR(__xludf.DUMMYFUNCTION("GOOGLETRANSLATE(D591)"),"Launch your program Startup")</f>
        <v>Launch your program Startup</v>
      </c>
      <c r="F591" s="36" t="s">
        <v>5752</v>
      </c>
      <c r="G591" s="45">
        <v>4.5941763</v>
      </c>
      <c r="H591" s="45">
        <v>46.778329999999997</v>
      </c>
      <c r="I591" s="46" t="s">
        <v>21</v>
      </c>
    </row>
    <row r="592" spans="1:9" ht="12.5">
      <c r="A592" s="41">
        <v>2360418</v>
      </c>
      <c r="B592" s="42" t="s">
        <v>672</v>
      </c>
      <c r="C592" s="43" t="s">
        <v>695</v>
      </c>
      <c r="D592" s="36" t="s">
        <v>5759</v>
      </c>
      <c r="E592" s="48" t="str">
        <f ca="1">IFERROR(__xludf.DUMMYFUNCTION("GOOGLETRANSLATE(D592)"),"Design Thinking - Remoto  | 2020")</f>
        <v>Design Thinking - Remoto  | 2020</v>
      </c>
      <c r="F592" s="36" t="s">
        <v>5760</v>
      </c>
      <c r="G592" s="45">
        <v>4.3832145000000002</v>
      </c>
      <c r="H592" s="45">
        <v>0.96222200000000002</v>
      </c>
      <c r="I592" s="46" t="s">
        <v>21</v>
      </c>
    </row>
    <row r="593" spans="1:9" ht="12.5">
      <c r="A593" s="47">
        <v>1491168</v>
      </c>
      <c r="B593" s="36" t="s">
        <v>672</v>
      </c>
      <c r="C593" s="36" t="s">
        <v>695</v>
      </c>
      <c r="D593" s="36" t="s">
        <v>5761</v>
      </c>
      <c r="E593" s="48" t="str">
        <f ca="1">IFERROR(__xludf.DUMMYFUNCTION("GOOGLETRANSLATE(D593)"),"How to undertake and reduce the risk of failure")</f>
        <v>How to undertake and reduce the risk of failure</v>
      </c>
      <c r="F593" s="36" t="s">
        <v>5762</v>
      </c>
      <c r="G593" s="45">
        <v>4.7518133999999996</v>
      </c>
      <c r="H593" s="45">
        <v>1.5866659999999999</v>
      </c>
      <c r="I593" s="36" t="s">
        <v>17</v>
      </c>
    </row>
    <row r="594" spans="1:9" ht="12.5">
      <c r="A594" s="47">
        <v>1234270</v>
      </c>
      <c r="B594" s="36" t="s">
        <v>672</v>
      </c>
      <c r="C594" s="36" t="s">
        <v>695</v>
      </c>
      <c r="D594" s="36" t="s">
        <v>5763</v>
      </c>
      <c r="E594" s="48" t="str">
        <f ca="1">IFERROR(__xludf.DUMMYFUNCTION("GOOGLETRANSLATE(D594)"),"7 Secrets of a CEO for your new post")</f>
        <v>7 Secrets of a CEO for your new post</v>
      </c>
      <c r="F594" s="36" t="s">
        <v>5695</v>
      </c>
      <c r="G594" s="45">
        <v>4.3511769999999999</v>
      </c>
      <c r="H594" s="45">
        <v>0.56555500000000003</v>
      </c>
      <c r="I594" s="46" t="s">
        <v>72</v>
      </c>
    </row>
    <row r="595" spans="1:9" ht="12.5">
      <c r="A595" s="41">
        <v>917734</v>
      </c>
      <c r="B595" s="36" t="s">
        <v>672</v>
      </c>
      <c r="C595" s="36" t="s">
        <v>695</v>
      </c>
      <c r="D595" s="36" t="s">
        <v>5764</v>
      </c>
      <c r="E595" s="48" t="str">
        <f ca="1">IFERROR(__xludf.DUMMYFUNCTION("GOOGLETRANSLATE(D595)"),"Launch your program Startup: Lean Analytics.")</f>
        <v>Launch your program Startup: Lean Analytics.</v>
      </c>
      <c r="F595" s="36" t="s">
        <v>5752</v>
      </c>
      <c r="G595" s="45">
        <v>4.6874523000000003</v>
      </c>
      <c r="H595" s="45">
        <v>2.1886109999999999</v>
      </c>
      <c r="I595" s="46" t="s">
        <v>72</v>
      </c>
    </row>
    <row r="596" spans="1:9" ht="12.5">
      <c r="A596" s="41">
        <v>1405360</v>
      </c>
      <c r="B596" s="42" t="s">
        <v>672</v>
      </c>
      <c r="C596" s="43" t="s">
        <v>695</v>
      </c>
      <c r="D596" s="36" t="s">
        <v>5765</v>
      </c>
      <c r="E596" s="48" t="str">
        <f ca="1">IFERROR(__xludf.DUMMYFUNCTION("GOOGLETRANSLATE(D596)"),"Gamification for Business (updated April 2020)")</f>
        <v>Gamification for Business (updated April 2020)</v>
      </c>
      <c r="F596" s="36" t="s">
        <v>5766</v>
      </c>
      <c r="G596" s="45">
        <v>4.4705652999999996</v>
      </c>
      <c r="H596" s="45">
        <v>1.5472220000000001</v>
      </c>
      <c r="I596" s="46" t="s">
        <v>21</v>
      </c>
    </row>
    <row r="597" spans="1:9" ht="12.5">
      <c r="A597" s="47">
        <v>2992804</v>
      </c>
      <c r="B597" s="36" t="s">
        <v>672</v>
      </c>
      <c r="C597" s="36" t="s">
        <v>695</v>
      </c>
      <c r="D597" s="36" t="s">
        <v>5767</v>
      </c>
      <c r="E597" s="48" t="str">
        <f ca="1">IFERROR(__xludf.DUMMYFUNCTION("GOOGLETRANSLATE(D597)"),"Masterclass on Innovation and Exponential Organizations")</f>
        <v>Masterclass on Innovation and Exponential Organizations</v>
      </c>
      <c r="F597" s="36" t="s">
        <v>5768</v>
      </c>
      <c r="G597" s="45">
        <v>4.6370683000000001</v>
      </c>
      <c r="H597" s="45">
        <v>1.8225</v>
      </c>
      <c r="I597" s="46" t="s">
        <v>21</v>
      </c>
    </row>
    <row r="598" spans="1:9" ht="12.5">
      <c r="A598" s="41">
        <v>841480</v>
      </c>
      <c r="B598" s="42" t="s">
        <v>672</v>
      </c>
      <c r="C598" s="43" t="s">
        <v>695</v>
      </c>
      <c r="D598" s="36" t="s">
        <v>5769</v>
      </c>
      <c r="E598" s="48" t="str">
        <f ca="1">IFERROR(__xludf.DUMMYFUNCTION("GOOGLETRANSLATE(D598)"),"MBA Full Course in 1: Professor Awarded Business")</f>
        <v>MBA Full Course in 1: Professor Awarded Business</v>
      </c>
      <c r="F598" s="36" t="s">
        <v>3706</v>
      </c>
      <c r="G598" s="45">
        <v>4.3975553999999999</v>
      </c>
      <c r="H598" s="45">
        <v>10.601388</v>
      </c>
      <c r="I598" s="46" t="s">
        <v>21</v>
      </c>
    </row>
    <row r="599" spans="1:9" ht="12.5">
      <c r="A599" s="41">
        <v>1061336</v>
      </c>
      <c r="B599" s="42" t="s">
        <v>768</v>
      </c>
      <c r="C599" s="43" t="s">
        <v>795</v>
      </c>
      <c r="D599" s="36" t="s">
        <v>5770</v>
      </c>
      <c r="E599" s="48" t="str">
        <f ca="1">IFERROR(__xludf.DUMMYFUNCTION("GOOGLETRANSLATE(D599)"),"Copywriting for online businesses")</f>
        <v>Copywriting for online businesses</v>
      </c>
      <c r="F599" s="36" t="s">
        <v>5771</v>
      </c>
      <c r="G599" s="45">
        <v>4.2518310000000001</v>
      </c>
      <c r="H599" s="45">
        <v>4.0597219999999998</v>
      </c>
      <c r="I599" s="46" t="s">
        <v>72</v>
      </c>
    </row>
    <row r="600" spans="1:9" ht="12.5">
      <c r="A600" s="47">
        <v>1776200</v>
      </c>
      <c r="B600" s="36" t="s">
        <v>768</v>
      </c>
      <c r="C600" s="36" t="s">
        <v>795</v>
      </c>
      <c r="D600" s="36" t="s">
        <v>5772</v>
      </c>
      <c r="E600" s="48" t="str">
        <f ca="1">IFERROR(__xludf.DUMMYFUNCTION("GOOGLETRANSLATE(D600)"),"Content marketing. Strategies for your social networks")</f>
        <v>Content marketing. Strategies for your social networks</v>
      </c>
      <c r="F600" s="36" t="s">
        <v>5735</v>
      </c>
      <c r="G600" s="45">
        <v>3.6810532</v>
      </c>
      <c r="H600" s="45">
        <v>2.3483329999999998</v>
      </c>
      <c r="I600" s="36" t="s">
        <v>21</v>
      </c>
    </row>
    <row r="601" spans="1:9" ht="12.5">
      <c r="A601" s="41">
        <v>1362058</v>
      </c>
      <c r="B601" s="42" t="s">
        <v>768</v>
      </c>
      <c r="C601" s="43" t="s">
        <v>795</v>
      </c>
      <c r="D601" s="36" t="s">
        <v>5773</v>
      </c>
      <c r="E601" s="48" t="str">
        <f ca="1">IFERROR(__xludf.DUMMYFUNCTION("GOOGLETRANSLATE(D601)"),"Complete Course Email Marketing for Business and People")</f>
        <v>Complete Course Email Marketing for Business and People</v>
      </c>
      <c r="F601" s="36" t="s">
        <v>5774</v>
      </c>
      <c r="G601" s="45">
        <v>4.2552019999999997</v>
      </c>
      <c r="H601" s="45">
        <v>1.837777</v>
      </c>
      <c r="I601" s="46" t="s">
        <v>21</v>
      </c>
    </row>
    <row r="602" spans="1:9" ht="12.5">
      <c r="A602" s="47">
        <v>1407694</v>
      </c>
      <c r="B602" s="36" t="s">
        <v>768</v>
      </c>
      <c r="C602" s="36" t="s">
        <v>795</v>
      </c>
      <c r="D602" s="36" t="s">
        <v>5775</v>
      </c>
      <c r="E602" s="48" t="str">
        <f ca="1">IFERROR(__xludf.DUMMYFUNCTION("GOOGLETRANSLATE(D602)"),"MailChimp Email Marketing For Business From Scratch")</f>
        <v>MailChimp Email Marketing For Business From Scratch</v>
      </c>
      <c r="F602" s="36" t="s">
        <v>5776</v>
      </c>
      <c r="G602" s="45">
        <v>4.2985410000000002</v>
      </c>
      <c r="H602" s="45">
        <v>6.8844440000000002</v>
      </c>
      <c r="I602" s="46" t="s">
        <v>17</v>
      </c>
    </row>
    <row r="603" spans="1:9" ht="12.5">
      <c r="A603" s="47">
        <v>1660096</v>
      </c>
      <c r="B603" s="36" t="s">
        <v>768</v>
      </c>
      <c r="C603" s="36" t="s">
        <v>795</v>
      </c>
      <c r="D603" s="36" t="s">
        <v>5777</v>
      </c>
      <c r="E603" s="48" t="str">
        <f ca="1">IFERROR(__xludf.DUMMYFUNCTION("GOOGLETRANSLATE(D603)"),"complete to be a professional e-mail marketing guide")</f>
        <v>complete to be a professional e-mail marketing guide</v>
      </c>
      <c r="F603" s="36" t="s">
        <v>5778</v>
      </c>
      <c r="G603" s="45">
        <v>3.7748659999999998</v>
      </c>
      <c r="H603" s="45">
        <v>2.150833</v>
      </c>
      <c r="I603" s="46" t="s">
        <v>17</v>
      </c>
    </row>
    <row r="604" spans="1:9" ht="12.5">
      <c r="A604" s="47">
        <v>1316658</v>
      </c>
      <c r="B604" s="36" t="s">
        <v>768</v>
      </c>
      <c r="C604" s="36" t="s">
        <v>795</v>
      </c>
      <c r="D604" s="36" t="s">
        <v>5779</v>
      </c>
      <c r="E604" s="48" t="str">
        <f ca="1">IFERROR(__xludf.DUMMYFUNCTION("GOOGLETRANSLATE(D604)"),"Full course of Email Marketing (UPDATED 2020)")</f>
        <v>Full course of Email Marketing (UPDATED 2020)</v>
      </c>
      <c r="F604" s="36" t="s">
        <v>5780</v>
      </c>
      <c r="G604" s="45">
        <v>4.4088190000000003</v>
      </c>
      <c r="H604" s="45">
        <v>2.4819439999999999</v>
      </c>
      <c r="I604" s="46" t="s">
        <v>17</v>
      </c>
    </row>
    <row r="605" spans="1:9" ht="12.5">
      <c r="A605" s="41">
        <v>2440972</v>
      </c>
      <c r="B605" s="42" t="s">
        <v>768</v>
      </c>
      <c r="C605" s="43" t="s">
        <v>795</v>
      </c>
      <c r="D605" s="36" t="s">
        <v>5781</v>
      </c>
      <c r="E605" s="48" t="str">
        <f ca="1">IFERROR(__xludf.DUMMYFUNCTION("GOOGLETRANSLATE(D605)"),"Content Marketing for Beginners: The Complete Guide")</f>
        <v>Content Marketing for Beginners: The Complete Guide</v>
      </c>
      <c r="F605" s="36" t="s">
        <v>5044</v>
      </c>
      <c r="G605" s="45">
        <v>4.3495293000000004</v>
      </c>
      <c r="H605" s="45">
        <v>6.1980550000000001</v>
      </c>
      <c r="I605" s="46" t="s">
        <v>17</v>
      </c>
    </row>
    <row r="606" spans="1:9" ht="12.5">
      <c r="A606" s="41">
        <v>2217998</v>
      </c>
      <c r="B606" s="42" t="s">
        <v>768</v>
      </c>
      <c r="C606" s="43" t="s">
        <v>772</v>
      </c>
      <c r="D606" s="36" t="s">
        <v>5782</v>
      </c>
      <c r="E606" s="48" t="str">
        <f ca="1">IFERROR(__xludf.DUMMYFUNCTION("GOOGLETRANSLATE(D606)"),"Digital Marketing Full course - 23 courses in 1")</f>
        <v>Digital Marketing Full course - 23 courses in 1</v>
      </c>
      <c r="F606" s="36" t="s">
        <v>2378</v>
      </c>
      <c r="G606" s="45">
        <v>4.5334716000000004</v>
      </c>
      <c r="H606" s="45">
        <v>20.456944</v>
      </c>
      <c r="I606" s="46" t="s">
        <v>21</v>
      </c>
    </row>
    <row r="607" spans="1:9" ht="12.5">
      <c r="A607" s="41">
        <v>1685330</v>
      </c>
      <c r="B607" s="42" t="s">
        <v>768</v>
      </c>
      <c r="C607" s="43" t="s">
        <v>772</v>
      </c>
      <c r="D607" s="36" t="s">
        <v>5783</v>
      </c>
      <c r="E607" s="48" t="str">
        <f ca="1">IFERROR(__xludf.DUMMYFUNCTION("GOOGLETRANSLATE(D607)"),"Full Digital Marketing: From Zero to Expert in 2020")</f>
        <v>Full Digital Marketing: From Zero to Expert in 2020</v>
      </c>
      <c r="F607" s="36" t="s">
        <v>5784</v>
      </c>
      <c r="G607" s="45">
        <v>4.3313680000000003</v>
      </c>
      <c r="H607" s="45">
        <v>5.6775000000000002</v>
      </c>
      <c r="I607" s="46" t="s">
        <v>21</v>
      </c>
    </row>
    <row r="608" spans="1:9" ht="12.5">
      <c r="A608" s="41">
        <v>2067063</v>
      </c>
      <c r="B608" s="42" t="s">
        <v>768</v>
      </c>
      <c r="C608" s="43" t="s">
        <v>772</v>
      </c>
      <c r="D608" s="36" t="s">
        <v>5785</v>
      </c>
      <c r="E608" s="48" t="str">
        <f ca="1">IFERROR(__xludf.DUMMYFUNCTION("GOOGLETRANSLATE(D608)"),"Neuromarketing branding and digital, science selling")</f>
        <v>Neuromarketing branding and digital, science selling</v>
      </c>
      <c r="F608" s="36" t="s">
        <v>5786</v>
      </c>
      <c r="G608" s="45">
        <v>4.2107177</v>
      </c>
      <c r="H608" s="45">
        <v>2.726111</v>
      </c>
      <c r="I608" s="46" t="s">
        <v>21</v>
      </c>
    </row>
    <row r="609" spans="1:9" ht="12.5">
      <c r="A609" s="41">
        <v>1913984</v>
      </c>
      <c r="B609" s="42" t="s">
        <v>768</v>
      </c>
      <c r="C609" s="43" t="s">
        <v>772</v>
      </c>
      <c r="D609" s="36" t="s">
        <v>5787</v>
      </c>
      <c r="E609" s="48" t="str">
        <f ca="1">IFERROR(__xludf.DUMMYFUNCTION("GOOGLETRANSLATE(D609)"),"Secrets of Digital Marketing Social Media. 2020.")</f>
        <v>Secrets of Digital Marketing Social Media. 2020.</v>
      </c>
      <c r="F609" s="36" t="s">
        <v>4949</v>
      </c>
      <c r="G609" s="45">
        <v>4.321663</v>
      </c>
      <c r="H609" s="45">
        <v>6.9461110000000001</v>
      </c>
      <c r="I609" s="46" t="s">
        <v>259</v>
      </c>
    </row>
    <row r="610" spans="1:9" ht="12.5">
      <c r="A610" s="47">
        <v>1762042</v>
      </c>
      <c r="B610" s="36" t="s">
        <v>768</v>
      </c>
      <c r="C610" s="36" t="s">
        <v>772</v>
      </c>
      <c r="D610" s="36" t="s">
        <v>5788</v>
      </c>
      <c r="E610" s="48" t="str">
        <f ca="1">IFERROR(__xludf.DUMMYFUNCTION("GOOGLETRANSLATE(D610)"),"Master of Digital Marketing - 12 courses 1")</f>
        <v>Master of Digital Marketing - 12 courses 1</v>
      </c>
      <c r="F610" s="36" t="s">
        <v>5789</v>
      </c>
      <c r="G610" s="45">
        <v>4.0102019999999996</v>
      </c>
      <c r="H610" s="45">
        <v>54.897219999999997</v>
      </c>
      <c r="I610" s="46" t="s">
        <v>72</v>
      </c>
    </row>
    <row r="611" spans="1:9" ht="12.5">
      <c r="A611" s="41">
        <v>2213022</v>
      </c>
      <c r="B611" s="42" t="s">
        <v>768</v>
      </c>
      <c r="C611" s="43" t="s">
        <v>772</v>
      </c>
      <c r="D611" s="36" t="s">
        <v>5790</v>
      </c>
      <c r="E611" s="48" t="str">
        <f ca="1">IFERROR(__xludf.DUMMYFUNCTION("GOOGLETRANSLATE(D611)"),"PrestaShop 1.7: Create Online Store 0 to expert!")</f>
        <v>PrestaShop 1.7: Create Online Store 0 to expert!</v>
      </c>
      <c r="F611" s="36" t="s">
        <v>5175</v>
      </c>
      <c r="G611" s="45">
        <v>3.8459675</v>
      </c>
      <c r="H611" s="45">
        <v>8.6344440000000002</v>
      </c>
      <c r="I611" s="46" t="s">
        <v>21</v>
      </c>
    </row>
    <row r="612" spans="1:9" ht="12.5">
      <c r="A612" s="41">
        <v>2337088</v>
      </c>
      <c r="B612" s="42" t="s">
        <v>768</v>
      </c>
      <c r="C612" s="43" t="s">
        <v>772</v>
      </c>
      <c r="D612" s="36" t="s">
        <v>5791</v>
      </c>
      <c r="E612" s="48" t="str">
        <f ca="1">IFERROR(__xludf.DUMMYFUNCTION("GOOGLETRANSLATE(D612)"),"Growth Hacking con Marketing Digital")</f>
        <v>Growth Hacking con Marketing Digital</v>
      </c>
      <c r="F612" s="36" t="s">
        <v>2378</v>
      </c>
      <c r="G612" s="45">
        <v>3.9768542999999998</v>
      </c>
      <c r="H612" s="45">
        <v>4.6477769999999996</v>
      </c>
      <c r="I612" s="46" t="s">
        <v>21</v>
      </c>
    </row>
    <row r="613" spans="1:9" ht="12.5">
      <c r="A613" s="41">
        <v>1620060</v>
      </c>
      <c r="B613" s="42" t="s">
        <v>768</v>
      </c>
      <c r="C613" s="43" t="s">
        <v>772</v>
      </c>
      <c r="D613" s="36" t="s">
        <v>5792</v>
      </c>
      <c r="E613" s="48" t="str">
        <f ca="1">IFERROR(__xludf.DUMMYFUNCTION("GOOGLETRANSLATE(D613)"),"Complete course with current techniques Inbound Marketing")</f>
        <v>Complete course with current techniques Inbound Marketing</v>
      </c>
      <c r="F613" s="36" t="s">
        <v>5793</v>
      </c>
      <c r="G613" s="45">
        <v>4.1450662999999999</v>
      </c>
      <c r="H613" s="45">
        <v>4.2869440000000001</v>
      </c>
      <c r="I613" s="46" t="s">
        <v>21</v>
      </c>
    </row>
    <row r="614" spans="1:9" ht="12.5">
      <c r="A614" s="41">
        <v>1673162</v>
      </c>
      <c r="B614" s="42" t="s">
        <v>768</v>
      </c>
      <c r="C614" s="43" t="s">
        <v>772</v>
      </c>
      <c r="D614" s="36" t="s">
        <v>5794</v>
      </c>
      <c r="E614" s="48" t="str">
        <f ca="1">IFERROR(__xludf.DUMMYFUNCTION("GOOGLETRANSLATE(D614)"),"ACTUAL creates a landing page, free and without programming")</f>
        <v>ACTUAL creates a landing page, free and without programming</v>
      </c>
      <c r="F614" s="36" t="s">
        <v>5795</v>
      </c>
      <c r="G614" s="45">
        <v>3.8641814999999999</v>
      </c>
      <c r="H614" s="45">
        <v>1.0711109999999999</v>
      </c>
      <c r="I614" s="46" t="s">
        <v>17</v>
      </c>
    </row>
    <row r="615" spans="1:9" ht="12.5">
      <c r="A615" s="41">
        <v>2870278</v>
      </c>
      <c r="B615" s="42" t="s">
        <v>768</v>
      </c>
      <c r="C615" s="43" t="s">
        <v>772</v>
      </c>
      <c r="D615" s="36" t="s">
        <v>5796</v>
      </c>
      <c r="E615" s="48" t="str">
        <f ca="1">IFERROR(__xludf.DUMMYFUNCTION("GOOGLETRANSLATE(D615)"),"Learn to sell TDC")</f>
        <v>Learn to sell TDC</v>
      </c>
      <c r="F615" s="36" t="s">
        <v>5797</v>
      </c>
      <c r="G615" s="45">
        <v>4.5443134000000001</v>
      </c>
      <c r="H615" s="45">
        <v>3.4166000000000002E-2</v>
      </c>
      <c r="I615" s="46" t="s">
        <v>72</v>
      </c>
    </row>
    <row r="616" spans="1:9" ht="12.5">
      <c r="A616" s="41">
        <v>1316648</v>
      </c>
      <c r="B616" s="36" t="s">
        <v>768</v>
      </c>
      <c r="C616" s="36" t="s">
        <v>772</v>
      </c>
      <c r="D616" s="36" t="s">
        <v>5798</v>
      </c>
      <c r="E616" s="48" t="str">
        <f ca="1">IFERROR(__xludf.DUMMYFUNCTION("GOOGLETRANSLATE(D616)"),"Landing Pages and Funnels Sale (2020 UPDATED)")</f>
        <v>Landing Pages and Funnels Sale (2020 UPDATED)</v>
      </c>
      <c r="F616" s="36" t="s">
        <v>5780</v>
      </c>
      <c r="G616" s="45">
        <v>4.2590050000000002</v>
      </c>
      <c r="H616" s="45">
        <v>2.2075</v>
      </c>
      <c r="I616" s="46" t="s">
        <v>17</v>
      </c>
    </row>
    <row r="617" spans="1:9" ht="12.5">
      <c r="A617" s="41">
        <v>1918446</v>
      </c>
      <c r="B617" s="36" t="s">
        <v>768</v>
      </c>
      <c r="C617" s="36" t="s">
        <v>772</v>
      </c>
      <c r="D617" s="36" t="s">
        <v>5799</v>
      </c>
      <c r="E617" s="48" t="str">
        <f ca="1">IFERROR(__xludf.DUMMYFUNCTION("GOOGLETRANSLATE(D617)"),"Attracting customers with Google My Business - 2020")</f>
        <v>Attracting customers with Google My Business - 2020</v>
      </c>
      <c r="F617" s="36" t="s">
        <v>5423</v>
      </c>
      <c r="G617" s="45">
        <v>4.3503119999999997</v>
      </c>
      <c r="H617" s="45">
        <v>2.2774999999999999</v>
      </c>
      <c r="I617" s="46" t="s">
        <v>21</v>
      </c>
    </row>
    <row r="618" spans="1:9" ht="12.5">
      <c r="A618" s="41">
        <v>1079988</v>
      </c>
      <c r="B618" s="42" t="s">
        <v>768</v>
      </c>
      <c r="C618" s="43" t="s">
        <v>772</v>
      </c>
      <c r="D618" s="36" t="s">
        <v>5800</v>
      </c>
      <c r="E618" s="48" t="str">
        <f ca="1">IFERROR(__xludf.DUMMYFUNCTION("GOOGLETRANSLATE(D618)"),"Create your sales funnel Footsteps and sells Internet")</f>
        <v>Create your sales funnel Footsteps and sells Internet</v>
      </c>
      <c r="F618" s="36" t="s">
        <v>5801</v>
      </c>
      <c r="G618" s="45">
        <v>4.2746243000000002</v>
      </c>
      <c r="H618" s="45">
        <v>3.644444</v>
      </c>
      <c r="I618" s="46" t="s">
        <v>21</v>
      </c>
    </row>
    <row r="619" spans="1:9" ht="12.5">
      <c r="A619" s="41">
        <v>3229207</v>
      </c>
      <c r="B619" s="42" t="s">
        <v>768</v>
      </c>
      <c r="C619" s="43" t="s">
        <v>772</v>
      </c>
      <c r="D619" s="36" t="s">
        <v>5802</v>
      </c>
      <c r="E619" s="48" t="str">
        <f ca="1">IFERROR(__xludf.DUMMYFUNCTION("GOOGLETRANSLATE(D619)"),"Master in Digital Marketing - Position your business on the web")</f>
        <v>Master in Digital Marketing - Position your business on the web</v>
      </c>
      <c r="F619" s="36" t="s">
        <v>5086</v>
      </c>
      <c r="G619" s="45">
        <v>4.5980376999999999</v>
      </c>
      <c r="H619" s="45">
        <v>21.065276999999998</v>
      </c>
      <c r="I619" s="46" t="s">
        <v>21</v>
      </c>
    </row>
    <row r="620" spans="1:9" ht="12.5">
      <c r="A620" s="47">
        <v>1663348</v>
      </c>
      <c r="B620" s="36" t="s">
        <v>768</v>
      </c>
      <c r="C620" s="36" t="s">
        <v>792</v>
      </c>
      <c r="D620" s="36" t="s">
        <v>5803</v>
      </c>
      <c r="E620" s="48" t="str">
        <f ca="1">IFERROR(__xludf.DUMMYFUNCTION("GOOGLETRANSLATE(D620)"),"Web analytics with Google Analytics")</f>
        <v>Web analytics with Google Analytics</v>
      </c>
      <c r="F620" s="36" t="s">
        <v>5789</v>
      </c>
      <c r="G620" s="45">
        <v>3.8132956</v>
      </c>
      <c r="H620" s="45">
        <v>5.4886109999999997</v>
      </c>
      <c r="I620" s="46" t="s">
        <v>72</v>
      </c>
    </row>
    <row r="621" spans="1:9" ht="12.5">
      <c r="A621" s="41">
        <v>1192724</v>
      </c>
      <c r="B621" s="42" t="s">
        <v>768</v>
      </c>
      <c r="C621" s="43" t="s">
        <v>792</v>
      </c>
      <c r="D621" s="36" t="s">
        <v>5804</v>
      </c>
      <c r="E621" s="48" t="str">
        <f ca="1">IFERROR(__xludf.DUMMYFUNCTION("GOOGLETRANSLATE(D621)"),"Google Analytics, Full course with Professor Certificate")</f>
        <v>Google Analytics, Full course with Professor Certificate</v>
      </c>
      <c r="F621" s="36" t="s">
        <v>5805</v>
      </c>
      <c r="G621" s="45">
        <v>3.7075098</v>
      </c>
      <c r="H621" s="45">
        <v>1.6127769999999999</v>
      </c>
      <c r="I621" s="46" t="s">
        <v>21</v>
      </c>
    </row>
    <row r="622" spans="1:9" ht="12.5">
      <c r="A622" s="41">
        <v>1422250</v>
      </c>
      <c r="B622" s="36" t="s">
        <v>768</v>
      </c>
      <c r="C622" s="36" t="s">
        <v>792</v>
      </c>
      <c r="D622" s="36" t="s">
        <v>5806</v>
      </c>
      <c r="E622" s="48" t="str">
        <f ca="1">IFERROR(__xludf.DUMMYFUNCTION("GOOGLETRANSLATE(D622)"),"Domina ActiveCampaign from scratch and Automate your Business")</f>
        <v>Domina ActiveCampaign from scratch and Automate your Business</v>
      </c>
      <c r="F622" s="36" t="s">
        <v>5801</v>
      </c>
      <c r="G622" s="45">
        <v>4.5421844</v>
      </c>
      <c r="H622" s="45">
        <v>3.5897220000000001</v>
      </c>
      <c r="I622" s="46" t="s">
        <v>21</v>
      </c>
    </row>
    <row r="623" spans="1:9" ht="12.5">
      <c r="A623" s="47">
        <v>1510132</v>
      </c>
      <c r="B623" s="36" t="s">
        <v>768</v>
      </c>
      <c r="C623" s="36" t="s">
        <v>827</v>
      </c>
      <c r="D623" s="36" t="s">
        <v>5807</v>
      </c>
      <c r="E623" s="48" t="str">
        <f ca="1">IFERROR(__xludf.DUMMYFUNCTION("GOOGLETRANSLATE(D623)"),"Aprende a usar un CRM (Customer Relationship Management)")</f>
        <v>Aprende a usar un CRM (Customer Relationship Management)</v>
      </c>
      <c r="F623" s="36" t="s">
        <v>5808</v>
      </c>
      <c r="G623" s="45">
        <v>4.532635</v>
      </c>
      <c r="H623" s="45">
        <v>5.1883330000000001</v>
      </c>
      <c r="I623" s="36" t="s">
        <v>17</v>
      </c>
    </row>
    <row r="624" spans="1:9" ht="12.5">
      <c r="A624" s="47">
        <v>1316666</v>
      </c>
      <c r="B624" s="36" t="s">
        <v>768</v>
      </c>
      <c r="C624" s="36" t="s">
        <v>827</v>
      </c>
      <c r="D624" s="36" t="s">
        <v>5809</v>
      </c>
      <c r="E624" s="48" t="str">
        <f ca="1">IFERROR(__xludf.DUMMYFUNCTION("GOOGLETRANSLATE(D624)"),"Digital Marketing Strategies-Based Sales Funnels")</f>
        <v>Digital Marketing Strategies-Based Sales Funnels</v>
      </c>
      <c r="F624" s="36" t="s">
        <v>5780</v>
      </c>
      <c r="G624" s="45">
        <v>4.3441577000000002</v>
      </c>
      <c r="H624" s="45">
        <v>5.7894439999999996</v>
      </c>
      <c r="I624" s="36" t="s">
        <v>21</v>
      </c>
    </row>
    <row r="625" spans="1:9" ht="12.5">
      <c r="A625" s="47">
        <v>536328</v>
      </c>
      <c r="B625" s="36" t="s">
        <v>768</v>
      </c>
      <c r="C625" s="36" t="s">
        <v>827</v>
      </c>
      <c r="D625" s="36" t="s">
        <v>5810</v>
      </c>
      <c r="E625" s="48" t="str">
        <f ca="1">IFERROR(__xludf.DUMMYFUNCTION("GOOGLETRANSLATE(D625)"),"Affiliate Marketing: How to Generate Passive Income Online")</f>
        <v>Affiliate Marketing: How to Generate Passive Income Online</v>
      </c>
      <c r="F625" s="36" t="s">
        <v>5811</v>
      </c>
      <c r="G625" s="45">
        <v>3.8210563999999998</v>
      </c>
      <c r="H625" s="45">
        <v>14.245277</v>
      </c>
      <c r="I625" s="36" t="s">
        <v>21</v>
      </c>
    </row>
    <row r="626" spans="1:9" ht="12.5">
      <c r="A626" s="47">
        <v>1319346</v>
      </c>
      <c r="B626" s="36" t="s">
        <v>768</v>
      </c>
      <c r="C626" s="36" t="s">
        <v>827</v>
      </c>
      <c r="D626" s="36" t="s">
        <v>5812</v>
      </c>
      <c r="E626" s="48" t="str">
        <f ca="1">IFERROR(__xludf.DUMMYFUNCTION("GOOGLETRANSLATE(D626)"),"Legal Marketing: The Business Strategy of the Advocate")</f>
        <v>Legal Marketing: The Business Strategy of the Advocate</v>
      </c>
      <c r="F626" s="36" t="s">
        <v>5813</v>
      </c>
      <c r="G626" s="45">
        <v>4.3112664000000001</v>
      </c>
      <c r="H626" s="45">
        <v>2.1</v>
      </c>
      <c r="I626" s="36" t="s">
        <v>21</v>
      </c>
    </row>
    <row r="627" spans="1:9" ht="12.5">
      <c r="A627" s="47">
        <v>2107908</v>
      </c>
      <c r="B627" s="36" t="s">
        <v>768</v>
      </c>
      <c r="C627" s="36" t="s">
        <v>827</v>
      </c>
      <c r="D627" s="36" t="s">
        <v>5814</v>
      </c>
      <c r="E627" s="48" t="str">
        <f ca="1">IFERROR(__xludf.DUMMYFUNCTION("GOOGLETRANSLATE(D627)"),"Marketing Basics: from beginner to expert.")</f>
        <v>Marketing Basics: from beginner to expert.</v>
      </c>
      <c r="F627" s="36" t="s">
        <v>5701</v>
      </c>
      <c r="G627" s="45">
        <v>4.4519529999999996</v>
      </c>
      <c r="H627" s="45">
        <v>4.4977770000000001</v>
      </c>
      <c r="I627" s="36" t="s">
        <v>21</v>
      </c>
    </row>
    <row r="628" spans="1:9" ht="12.5">
      <c r="A628" s="47">
        <v>740200</v>
      </c>
      <c r="B628" s="36" t="s">
        <v>768</v>
      </c>
      <c r="C628" s="36" t="s">
        <v>786</v>
      </c>
      <c r="D628" s="36" t="s">
        <v>5815</v>
      </c>
      <c r="E628" s="48" t="str">
        <f ca="1">IFERROR(__xludf.DUMMYFUNCTION("GOOGLETRANSLATE(D628)"),"Facebook Ads 2020: Master Marketing on Facebook")</f>
        <v>Facebook Ads 2020: Master Marketing on Facebook</v>
      </c>
      <c r="F628" s="36" t="s">
        <v>5073</v>
      </c>
      <c r="G628" s="45">
        <v>4.4146986000000004</v>
      </c>
      <c r="H628" s="45">
        <v>9.163888</v>
      </c>
      <c r="I628" s="36" t="s">
        <v>21</v>
      </c>
    </row>
    <row r="629" spans="1:9" ht="12.5">
      <c r="A629" s="47">
        <v>1072288</v>
      </c>
      <c r="B629" s="36" t="s">
        <v>768</v>
      </c>
      <c r="C629" s="36" t="s">
        <v>786</v>
      </c>
      <c r="D629" s="36" t="s">
        <v>5816</v>
      </c>
      <c r="E629" s="48" t="str">
        <f ca="1">IFERROR(__xludf.DUMMYFUNCTION("GOOGLETRANSLATE(D629)"),"Create a sales funnel for your Business from Scratch Digital")</f>
        <v>Create a sales funnel for your Business from Scratch Digital</v>
      </c>
      <c r="F629" s="36" t="s">
        <v>5073</v>
      </c>
      <c r="G629" s="45">
        <v>4.7019185999999999</v>
      </c>
      <c r="H629" s="45">
        <v>2.8675000000000002</v>
      </c>
      <c r="I629" s="36" t="s">
        <v>21</v>
      </c>
    </row>
    <row r="630" spans="1:9" ht="12.5">
      <c r="A630" s="47">
        <v>322174</v>
      </c>
      <c r="B630" s="36" t="s">
        <v>768</v>
      </c>
      <c r="C630" s="36" t="s">
        <v>786</v>
      </c>
      <c r="D630" s="36" t="s">
        <v>5817</v>
      </c>
      <c r="E630" s="48" t="str">
        <f ca="1">IFERROR(__xludf.DUMMYFUNCTION("GOOGLETRANSLATE(D630)"),"Google Adwords to advertise successfully (Updated 2017)")</f>
        <v>Google Adwords to advertise successfully (Updated 2017)</v>
      </c>
      <c r="F630" s="36" t="s">
        <v>5818</v>
      </c>
      <c r="G630" s="45">
        <v>4.0400925000000001</v>
      </c>
      <c r="H630" s="45">
        <v>8.9183330000000005</v>
      </c>
      <c r="I630" s="36" t="s">
        <v>72</v>
      </c>
    </row>
    <row r="631" spans="1:9" ht="12.5">
      <c r="A631" s="47">
        <v>1173914</v>
      </c>
      <c r="B631" s="36" t="s">
        <v>768</v>
      </c>
      <c r="C631" s="36" t="s">
        <v>776</v>
      </c>
      <c r="D631" s="36" t="s">
        <v>5819</v>
      </c>
      <c r="E631" s="48" t="str">
        <f ca="1">IFERROR(__xludf.DUMMYFUNCTION("GOOGLETRANSLATE(D631)"),"Course SEO and SEO Google [UPDATED]")</f>
        <v>Course SEO and SEO Google [UPDATED]</v>
      </c>
      <c r="F631" s="36" t="s">
        <v>5820</v>
      </c>
      <c r="G631" s="45">
        <v>4.3759436999999997</v>
      </c>
      <c r="H631" s="45">
        <v>9.1330550000000006</v>
      </c>
      <c r="I631" s="36" t="s">
        <v>21</v>
      </c>
    </row>
    <row r="632" spans="1:9" ht="12.5">
      <c r="A632" s="47">
        <v>1702422</v>
      </c>
      <c r="B632" s="36" t="s">
        <v>768</v>
      </c>
      <c r="C632" s="36" t="s">
        <v>776</v>
      </c>
      <c r="D632" s="36" t="s">
        <v>5821</v>
      </c>
      <c r="E632" s="48" t="str">
        <f ca="1">IFERROR(__xludf.DUMMYFUNCTION("GOOGLETRANSLATE(D632)"),"GOOGLE ADS (SEM searches Adwords) Digital Marketing From 0")</f>
        <v>GOOGLE ADS (SEM searches Adwords) Digital Marketing From 0</v>
      </c>
      <c r="F632" s="36" t="s">
        <v>5822</v>
      </c>
      <c r="G632" s="45">
        <v>4.5712976000000003</v>
      </c>
      <c r="H632" s="45">
        <v>3.5416660000000002</v>
      </c>
      <c r="I632" s="36" t="s">
        <v>21</v>
      </c>
    </row>
    <row r="633" spans="1:9" ht="12.5">
      <c r="A633" s="47">
        <v>1682960</v>
      </c>
      <c r="B633" s="36" t="s">
        <v>768</v>
      </c>
      <c r="C633" s="36" t="s">
        <v>776</v>
      </c>
      <c r="D633" s="36" t="s">
        <v>5823</v>
      </c>
      <c r="E633" s="48" t="str">
        <f ca="1">IFERROR(__xludf.DUMMYFUNCTION("GOOGLETRANSLATE(D633)"),"Google Ads - Complete Course From Basics to Advanced")</f>
        <v>Google Ads - Complete Course From Basics to Advanced</v>
      </c>
      <c r="F633" s="36" t="s">
        <v>5824</v>
      </c>
      <c r="G633" s="45">
        <v>4.3487790000000004</v>
      </c>
      <c r="H633" s="45">
        <v>9.6447219999999998</v>
      </c>
      <c r="I633" s="36" t="s">
        <v>21</v>
      </c>
    </row>
    <row r="634" spans="1:9" ht="12.5">
      <c r="A634" s="47">
        <v>1719340</v>
      </c>
      <c r="B634" s="36" t="s">
        <v>768</v>
      </c>
      <c r="C634" s="36" t="s">
        <v>776</v>
      </c>
      <c r="D634" s="36" t="s">
        <v>5825</v>
      </c>
      <c r="E634" s="48" t="str">
        <f ca="1">IFERROR(__xludf.DUMMYFUNCTION("GOOGLETRANSLATE(D634)"),"Course SEO and SEO Services Web Developer")</f>
        <v>Course SEO and SEO Services Web Developer</v>
      </c>
      <c r="F634" s="36" t="s">
        <v>5131</v>
      </c>
      <c r="G634" s="45">
        <v>4.2635626999999996</v>
      </c>
      <c r="H634" s="45">
        <v>6.9211109999999998</v>
      </c>
      <c r="I634" s="36" t="s">
        <v>21</v>
      </c>
    </row>
    <row r="635" spans="1:9" ht="12.5">
      <c r="A635" s="47">
        <v>826602</v>
      </c>
      <c r="B635" s="36" t="s">
        <v>768</v>
      </c>
      <c r="C635" s="36" t="s">
        <v>776</v>
      </c>
      <c r="D635" s="36" t="s">
        <v>5826</v>
      </c>
      <c r="E635" s="48" t="str">
        <f ca="1">IFERROR(__xludf.DUMMYFUNCTION("GOOGLETRANSLATE(D635)"),"SEO for Wordpress; complete setup guide")</f>
        <v>SEO for Wordpress; complete setup guide</v>
      </c>
      <c r="F635" s="36" t="s">
        <v>5827</v>
      </c>
      <c r="G635" s="45">
        <v>4.5998999999999999</v>
      </c>
      <c r="H635" s="45">
        <v>2.6349999999999998</v>
      </c>
      <c r="I635" s="36" t="s">
        <v>17</v>
      </c>
    </row>
    <row r="636" spans="1:9" ht="12.5">
      <c r="A636" s="47">
        <v>1161550</v>
      </c>
      <c r="B636" s="36" t="s">
        <v>768</v>
      </c>
      <c r="C636" s="36" t="s">
        <v>776</v>
      </c>
      <c r="D636" s="36" t="s">
        <v>5828</v>
      </c>
      <c r="E636" s="48" t="str">
        <f ca="1">IFERROR(__xludf.DUMMYFUNCTION("GOOGLETRANSLATE(D636)"),"Complete Course Google Ads (AdWords) -Updated 2020")</f>
        <v>Complete Course Google Ads (AdWords) -Updated 2020</v>
      </c>
      <c r="F636" s="36" t="s">
        <v>5780</v>
      </c>
      <c r="G636" s="45">
        <v>4.2127514000000001</v>
      </c>
      <c r="H636" s="45">
        <v>12.246388</v>
      </c>
      <c r="I636" s="36" t="s">
        <v>21</v>
      </c>
    </row>
    <row r="637" spans="1:9" ht="12.5">
      <c r="A637" s="47">
        <v>1497872</v>
      </c>
      <c r="B637" s="36" t="s">
        <v>768</v>
      </c>
      <c r="C637" s="36" t="s">
        <v>776</v>
      </c>
      <c r="D637" s="36" t="s">
        <v>5829</v>
      </c>
      <c r="E637" s="48" t="str">
        <f ca="1">IFERROR(__xludf.DUMMYFUNCTION("GOOGLETRANSLATE(D637)"),"Facebook Marketing- from beginner to advanced")</f>
        <v>Facebook Marketing- from beginner to advanced</v>
      </c>
      <c r="F637" s="36" t="s">
        <v>5824</v>
      </c>
      <c r="G637" s="45">
        <v>4.4530263000000003</v>
      </c>
      <c r="H637" s="45">
        <v>9.0172220000000003</v>
      </c>
      <c r="I637" s="36" t="s">
        <v>21</v>
      </c>
    </row>
    <row r="638" spans="1:9" ht="12.5">
      <c r="A638" s="47">
        <v>108324</v>
      </c>
      <c r="B638" s="36" t="s">
        <v>768</v>
      </c>
      <c r="C638" s="36" t="s">
        <v>776</v>
      </c>
      <c r="D638" s="36" t="s">
        <v>5830</v>
      </c>
      <c r="E638" s="48" t="str">
        <f ca="1">IFERROR(__xludf.DUMMYFUNCTION("GOOGLETRANSLATE(D638)"),"SEO for WordPress - Practical Course SEO using Wordpress")</f>
        <v>SEO for WordPress - Practical Course SEO using Wordpress</v>
      </c>
      <c r="F638" s="36" t="s">
        <v>5820</v>
      </c>
      <c r="G638" s="45">
        <v>4.2490920000000001</v>
      </c>
      <c r="H638" s="45">
        <v>6.6194439999999997</v>
      </c>
      <c r="I638" s="36" t="s">
        <v>21</v>
      </c>
    </row>
    <row r="639" spans="1:9" ht="12.5">
      <c r="A639" s="47">
        <v>1451342</v>
      </c>
      <c r="B639" s="36" t="s">
        <v>768</v>
      </c>
      <c r="C639" s="36" t="s">
        <v>776</v>
      </c>
      <c r="D639" s="36" t="s">
        <v>5831</v>
      </c>
      <c r="E639" s="48" t="str">
        <f ca="1">IFERROR(__xludf.DUMMYFUNCTION("GOOGLETRANSLATE(D639)"),"Chatbot ManyChat 2020 sales funnel Facebook Messenger")</f>
        <v>Chatbot ManyChat 2020 sales funnel Facebook Messenger</v>
      </c>
      <c r="F639" s="36" t="s">
        <v>5801</v>
      </c>
      <c r="G639" s="45">
        <v>4.6133179999999996</v>
      </c>
      <c r="H639" s="45">
        <v>4.6866659999999998</v>
      </c>
      <c r="I639" s="36" t="s">
        <v>21</v>
      </c>
    </row>
    <row r="640" spans="1:9" ht="12.5">
      <c r="A640" s="47">
        <v>1536640</v>
      </c>
      <c r="B640" s="36" t="s">
        <v>768</v>
      </c>
      <c r="C640" s="36" t="s">
        <v>776</v>
      </c>
      <c r="D640" s="36" t="s">
        <v>5832</v>
      </c>
      <c r="E640" s="48" t="str">
        <f ca="1">IFERROR(__xludf.DUMMYFUNCTION("GOOGLETRANSLATE(D640)"),"[A-Z] Google Tag Manager Specialist basic tags")</f>
        <v>[A-Z] Google Tag Manager Specialist basic tags</v>
      </c>
      <c r="F640" s="36" t="s">
        <v>5833</v>
      </c>
      <c r="G640" s="45">
        <v>4.3740360000000003</v>
      </c>
      <c r="H640" s="45">
        <v>20.801387999999999</v>
      </c>
      <c r="I640" s="36" t="s">
        <v>21</v>
      </c>
    </row>
    <row r="641" spans="1:9" ht="12.5">
      <c r="A641" s="47">
        <v>1610186</v>
      </c>
      <c r="B641" s="36" t="s">
        <v>768</v>
      </c>
      <c r="C641" s="36" t="s">
        <v>769</v>
      </c>
      <c r="D641" s="36" t="s">
        <v>5834</v>
      </c>
      <c r="E641" s="48" t="str">
        <f ca="1">IFERROR(__xludf.DUMMYFUNCTION("GOOGLETRANSLATE(D641)"),"INSTAGRAM MARKETING: Intensive Instagram")</f>
        <v>INSTAGRAM MARKETING: Intensive Instagram</v>
      </c>
      <c r="F641" s="36" t="s">
        <v>5067</v>
      </c>
      <c r="G641" s="45">
        <v>4.5093100000000002</v>
      </c>
      <c r="H641" s="45">
        <v>9.7805549999999997</v>
      </c>
      <c r="I641" s="36" t="s">
        <v>21</v>
      </c>
    </row>
    <row r="642" spans="1:9" ht="12.5">
      <c r="A642" s="47">
        <v>1714668</v>
      </c>
      <c r="B642" s="36" t="s">
        <v>768</v>
      </c>
      <c r="C642" s="36" t="s">
        <v>769</v>
      </c>
      <c r="D642" s="36" t="s">
        <v>5835</v>
      </c>
      <c r="E642" s="48" t="str">
        <f ca="1">IFERROR(__xludf.DUMMYFUNCTION("GOOGLETRANSLATE(D642)"),"Full course Instagram Marketing.")</f>
        <v>Full course Instagram Marketing.</v>
      </c>
      <c r="F642" s="36" t="s">
        <v>2378</v>
      </c>
      <c r="G642" s="45">
        <v>4.531199</v>
      </c>
      <c r="H642" s="45">
        <v>4.4727769999999998</v>
      </c>
      <c r="I642" s="36" t="s">
        <v>21</v>
      </c>
    </row>
    <row r="643" spans="1:9" ht="12.5">
      <c r="A643" s="41">
        <v>1714684</v>
      </c>
      <c r="B643" s="42" t="s">
        <v>768</v>
      </c>
      <c r="C643" s="43" t="s">
        <v>769</v>
      </c>
      <c r="D643" s="36" t="s">
        <v>5836</v>
      </c>
      <c r="E643" s="48" t="str">
        <f ca="1">IFERROR(__xludf.DUMMYFUNCTION("GOOGLETRANSLATE(D643)"),"10 Ways to Grow Your Organic Instagram form")</f>
        <v>10 Ways to Grow Your Organic Instagram form</v>
      </c>
      <c r="F643" s="36" t="s">
        <v>2378</v>
      </c>
      <c r="G643" s="45">
        <v>4.4638039999999997</v>
      </c>
      <c r="H643" s="45">
        <v>0.99027699999999996</v>
      </c>
      <c r="I643" s="46" t="s">
        <v>21</v>
      </c>
    </row>
    <row r="644" spans="1:9" ht="12.5">
      <c r="A644" s="47">
        <v>1176658</v>
      </c>
      <c r="B644" s="36" t="s">
        <v>768</v>
      </c>
      <c r="C644" s="36" t="s">
        <v>769</v>
      </c>
      <c r="D644" s="36" t="s">
        <v>5837</v>
      </c>
      <c r="E644" s="48" t="str">
        <f ca="1">IFERROR(__xludf.DUMMYFUNCTION("GOOGLETRANSLATE(D644)"),"Linkedin 2020. Create your personal brand success")</f>
        <v>Linkedin 2020. Create your personal brand success</v>
      </c>
      <c r="F644" s="36" t="s">
        <v>5808</v>
      </c>
      <c r="G644" s="45">
        <v>4.3902010000000002</v>
      </c>
      <c r="H644" s="45">
        <v>5.9524999999999997</v>
      </c>
      <c r="I644" s="46" t="s">
        <v>21</v>
      </c>
    </row>
    <row r="645" spans="1:9" ht="12.5">
      <c r="A645" s="41">
        <v>1451316</v>
      </c>
      <c r="B645" s="42" t="s">
        <v>768</v>
      </c>
      <c r="C645" s="43" t="s">
        <v>769</v>
      </c>
      <c r="D645" s="36" t="s">
        <v>5838</v>
      </c>
      <c r="E645" s="48" t="str">
        <f ca="1">IFERROR(__xludf.DUMMYFUNCTION("GOOGLETRANSLATE(D645)"),"Facebook Ads STRATEGIC 2020: Digital Marketing for SELL")</f>
        <v>Facebook Ads STRATEGIC 2020: Digital Marketing for SELL</v>
      </c>
      <c r="F645" s="36" t="s">
        <v>5801</v>
      </c>
      <c r="G645" s="45">
        <v>4.4272555999999996</v>
      </c>
      <c r="H645" s="45">
        <v>4.8822219999999996</v>
      </c>
      <c r="I645" s="46" t="s">
        <v>21</v>
      </c>
    </row>
    <row r="646" spans="1:9" ht="12.5">
      <c r="A646" s="41">
        <v>1739246</v>
      </c>
      <c r="B646" s="42" t="s">
        <v>768</v>
      </c>
      <c r="C646" s="43" t="s">
        <v>769</v>
      </c>
      <c r="D646" s="36" t="s">
        <v>5839</v>
      </c>
      <c r="E646" s="48" t="str">
        <f ca="1">IFERROR(__xludf.DUMMYFUNCTION("GOOGLETRANSLATE(D646)"),"INSTAGRAM: Practical Tips for Instagram Stories")</f>
        <v>INSTAGRAM: Practical Tips for Instagram Stories</v>
      </c>
      <c r="F646" s="36" t="s">
        <v>5067</v>
      </c>
      <c r="G646" s="45">
        <v>3.9866364000000001</v>
      </c>
      <c r="H646" s="45">
        <v>1.7766660000000001</v>
      </c>
      <c r="I646" s="46" t="s">
        <v>17</v>
      </c>
    </row>
    <row r="647" spans="1:9" ht="12.5">
      <c r="A647" s="41">
        <v>838606</v>
      </c>
      <c r="B647" s="42" t="s">
        <v>768</v>
      </c>
      <c r="C647" s="43" t="s">
        <v>769</v>
      </c>
      <c r="D647" s="36" t="s">
        <v>5840</v>
      </c>
      <c r="E647" s="48" t="str">
        <f ca="1">IFERROR(__xludf.DUMMYFUNCTION("GOOGLETRANSLATE(D647)"),"Retargeting on Facebook: Boost your sales and customers")</f>
        <v>Retargeting on Facebook: Boost your sales and customers</v>
      </c>
      <c r="F647" s="36" t="s">
        <v>5073</v>
      </c>
      <c r="G647" s="45">
        <v>3.9641747000000001</v>
      </c>
      <c r="H647" s="45">
        <v>2.1713879999999999</v>
      </c>
      <c r="I647" s="46" t="s">
        <v>21</v>
      </c>
    </row>
    <row r="648" spans="1:9" ht="12.5">
      <c r="A648" s="41">
        <v>2213954</v>
      </c>
      <c r="B648" s="42" t="s">
        <v>768</v>
      </c>
      <c r="C648" s="43" t="s">
        <v>769</v>
      </c>
      <c r="D648" s="36" t="s">
        <v>5841</v>
      </c>
      <c r="E648" s="48" t="str">
        <f ca="1">IFERROR(__xludf.DUMMYFUNCTION("GOOGLETRANSLATE(D648)"),"Learn how to manage Facebook for your business from 0%")</f>
        <v>Learn how to manage Facebook for your business from 0%</v>
      </c>
      <c r="F648" s="36" t="s">
        <v>5842</v>
      </c>
      <c r="G648" s="45">
        <v>4.5909589999999998</v>
      </c>
      <c r="H648" s="45">
        <v>6.3908329999999998</v>
      </c>
      <c r="I648" s="46" t="s">
        <v>17</v>
      </c>
    </row>
    <row r="649" spans="1:9" ht="12.5">
      <c r="A649" s="47">
        <v>1948402</v>
      </c>
      <c r="B649" s="36" t="s">
        <v>768</v>
      </c>
      <c r="C649" s="36" t="s">
        <v>769</v>
      </c>
      <c r="D649" s="36" t="s">
        <v>5843</v>
      </c>
      <c r="E649" s="48" t="str">
        <f ca="1">IFERROR(__xludf.DUMMYFUNCTION("GOOGLETRANSLATE(D649)"),"Domina Groups on Facebook: Create a tribe of followers")</f>
        <v>Domina Groups on Facebook: Create a tribe of followers</v>
      </c>
      <c r="F649" s="36" t="s">
        <v>5073</v>
      </c>
      <c r="G649" s="45">
        <v>4.3045406000000002</v>
      </c>
      <c r="H649" s="45">
        <v>4.4577770000000001</v>
      </c>
      <c r="I649" s="36" t="s">
        <v>21</v>
      </c>
    </row>
    <row r="650" spans="1:9" ht="12.5">
      <c r="A650" s="47">
        <v>2632182</v>
      </c>
      <c r="B650" s="36" t="s">
        <v>768</v>
      </c>
      <c r="C650" s="36" t="s">
        <v>769</v>
      </c>
      <c r="D650" s="36" t="s">
        <v>5844</v>
      </c>
      <c r="E650" s="48" t="str">
        <f ca="1">IFERROR(__xludf.DUMMYFUNCTION("GOOGLETRANSLATE(D650)"),"Facebook Ads for Beginners: Create Ads on Facebook")</f>
        <v>Facebook Ads for Beginners: Create Ads on Facebook</v>
      </c>
      <c r="F650" s="36" t="s">
        <v>2378</v>
      </c>
      <c r="G650" s="45">
        <v>4.5764155000000004</v>
      </c>
      <c r="H650" s="45">
        <v>1.2680549999999999</v>
      </c>
      <c r="I650" s="36" t="s">
        <v>17</v>
      </c>
    </row>
    <row r="651" spans="1:9" ht="12.5">
      <c r="A651" s="47">
        <v>2632594</v>
      </c>
      <c r="B651" s="36" t="s">
        <v>768</v>
      </c>
      <c r="C651" s="36" t="s">
        <v>769</v>
      </c>
      <c r="D651" s="36" t="s">
        <v>5845</v>
      </c>
      <c r="E651" s="48" t="str">
        <f ca="1">IFERROR(__xludf.DUMMYFUNCTION("GOOGLETRANSLATE(D651)"),"Google Ads for Beginners")</f>
        <v>Google Ads for Beginners</v>
      </c>
      <c r="F651" s="36" t="s">
        <v>2378</v>
      </c>
      <c r="G651" s="45">
        <v>4.4802749999999998</v>
      </c>
      <c r="H651" s="45">
        <v>0.80666599999999999</v>
      </c>
      <c r="I651" s="36" t="s">
        <v>17</v>
      </c>
    </row>
    <row r="652" spans="1:9" ht="12.5">
      <c r="A652" s="41">
        <v>1238042</v>
      </c>
      <c r="B652" s="42" t="s">
        <v>768</v>
      </c>
      <c r="C652" s="43" t="s">
        <v>769</v>
      </c>
      <c r="D652" s="36" t="s">
        <v>5846</v>
      </c>
      <c r="E652" s="48" t="str">
        <f ca="1">IFERROR(__xludf.DUMMYFUNCTION("GOOGLETRANSLATE(D652)"),"Course Facebook Messenger ChatBot")</f>
        <v>Course Facebook Messenger ChatBot</v>
      </c>
      <c r="F652" s="36" t="s">
        <v>5073</v>
      </c>
      <c r="G652" s="45">
        <v>4.1427092999999999</v>
      </c>
      <c r="H652" s="45">
        <v>3.317777</v>
      </c>
      <c r="I652" s="46" t="s">
        <v>21</v>
      </c>
    </row>
    <row r="653" spans="1:9" ht="12.5">
      <c r="A653" s="47">
        <v>2630770</v>
      </c>
      <c r="B653" s="36" t="s">
        <v>768</v>
      </c>
      <c r="C653" s="36" t="s">
        <v>769</v>
      </c>
      <c r="D653" s="36" t="s">
        <v>5847</v>
      </c>
      <c r="E653" s="48" t="str">
        <f ca="1">IFERROR(__xludf.DUMMYFUNCTION("GOOGLETRANSLATE(D653)"),"Facebook pages: Creates a Facebook Page for your business")</f>
        <v>Facebook pages: Creates a Facebook Page for your business</v>
      </c>
      <c r="F653" s="36" t="s">
        <v>2378</v>
      </c>
      <c r="G653" s="45">
        <v>4.2117405000000003</v>
      </c>
      <c r="H653" s="45">
        <v>0.65222199999999997</v>
      </c>
      <c r="I653" s="36" t="s">
        <v>17</v>
      </c>
    </row>
    <row r="654" spans="1:9" ht="12.5">
      <c r="A654" s="47">
        <v>2654602</v>
      </c>
      <c r="B654" s="36" t="s">
        <v>768</v>
      </c>
      <c r="C654" s="36" t="s">
        <v>769</v>
      </c>
      <c r="D654" s="36" t="s">
        <v>5848</v>
      </c>
      <c r="E654" s="48" t="str">
        <f ca="1">IFERROR(__xludf.DUMMYFUNCTION("GOOGLETRANSLATE(D654)"),"LinkedIn Marketing for Beginners")</f>
        <v>LinkedIn Marketing for Beginners</v>
      </c>
      <c r="F654" s="36" t="s">
        <v>2378</v>
      </c>
      <c r="G654" s="45">
        <v>4.4334835999999997</v>
      </c>
      <c r="H654" s="45">
        <v>1.1416660000000001</v>
      </c>
      <c r="I654" s="36" t="s">
        <v>17</v>
      </c>
    </row>
    <row r="655" spans="1:9" ht="12.5">
      <c r="A655" s="47">
        <v>2632632</v>
      </c>
      <c r="B655" s="36" t="s">
        <v>768</v>
      </c>
      <c r="C655" s="36" t="s">
        <v>769</v>
      </c>
      <c r="D655" s="36" t="s">
        <v>5849</v>
      </c>
      <c r="E655" s="48" t="str">
        <f ca="1">IFERROR(__xludf.DUMMYFUNCTION("GOOGLETRANSLATE(D655)"),"Twitter Marketing for Beginners")</f>
        <v>Twitter Marketing for Beginners</v>
      </c>
      <c r="F655" s="36" t="s">
        <v>2378</v>
      </c>
      <c r="G655" s="45">
        <v>4.2916990000000004</v>
      </c>
      <c r="H655" s="45">
        <v>0.90472200000000003</v>
      </c>
      <c r="I655" s="36" t="s">
        <v>17</v>
      </c>
    </row>
    <row r="656" spans="1:9" ht="12.5">
      <c r="A656" s="47">
        <v>2652584</v>
      </c>
      <c r="B656" s="36" t="s">
        <v>768</v>
      </c>
      <c r="C656" s="36" t="s">
        <v>769</v>
      </c>
      <c r="D656" s="36" t="s">
        <v>5850</v>
      </c>
      <c r="E656" s="48" t="str">
        <f ca="1">IFERROR(__xludf.DUMMYFUNCTION("GOOGLETRANSLATE(D656)"),"Pinterest Marketing for Beginners")</f>
        <v>Pinterest Marketing for Beginners</v>
      </c>
      <c r="F656" s="36" t="s">
        <v>2378</v>
      </c>
      <c r="G656" s="45">
        <v>4.7162839999999999</v>
      </c>
      <c r="H656" s="45">
        <v>0.74027699999999996</v>
      </c>
      <c r="I656" s="36" t="s">
        <v>17</v>
      </c>
    </row>
    <row r="657" spans="1:9" ht="12.5">
      <c r="A657" s="47">
        <v>1493880</v>
      </c>
      <c r="B657" s="36" t="s">
        <v>768</v>
      </c>
      <c r="C657" s="36" t="s">
        <v>820</v>
      </c>
      <c r="D657" s="36" t="s">
        <v>5851</v>
      </c>
      <c r="E657" s="48" t="str">
        <f ca="1">IFERROR(__xludf.DUMMYFUNCTION("GOOGLETRANSLATE(D657)"),"Course to start on YouTube and generate income")</f>
        <v>Course to start on YouTube and generate income</v>
      </c>
      <c r="F657" s="36" t="s">
        <v>5852</v>
      </c>
      <c r="G657" s="45">
        <v>3.9696967999999999</v>
      </c>
      <c r="H657" s="45">
        <v>3.3694440000000001</v>
      </c>
      <c r="I657" s="36" t="s">
        <v>21</v>
      </c>
    </row>
    <row r="658" spans="1:9" ht="12.5">
      <c r="A658" s="47">
        <v>2266622</v>
      </c>
      <c r="B658" s="36" t="s">
        <v>768</v>
      </c>
      <c r="C658" s="36" t="s">
        <v>820</v>
      </c>
      <c r="D658" s="36" t="s">
        <v>5853</v>
      </c>
      <c r="E658" s="48" t="str">
        <f ca="1">IFERROR(__xludf.DUMMYFUNCTION("GOOGLETRANSLATE(D658)"),"YouTube Masterclass - The Complete Guide Youtube")</f>
        <v>YouTube Masterclass - The Complete Guide Youtube</v>
      </c>
      <c r="F658" s="36" t="s">
        <v>5021</v>
      </c>
      <c r="G658" s="45">
        <v>4.3912635</v>
      </c>
      <c r="H658" s="45">
        <v>6.73</v>
      </c>
      <c r="I658" s="36" t="s">
        <v>21</v>
      </c>
    </row>
    <row r="659" spans="1:9" ht="12.5">
      <c r="A659" s="47">
        <v>2015118</v>
      </c>
      <c r="B659" s="36" t="s">
        <v>864</v>
      </c>
      <c r="C659" s="36" t="s">
        <v>905</v>
      </c>
      <c r="D659" s="36" t="s">
        <v>5854</v>
      </c>
      <c r="E659" s="48" t="str">
        <f ca="1">IFERROR(__xludf.DUMMYFUNCTION("GOOGLETRANSLATE(D659)"),"Manage your Scrum Agile Project with Jira")</f>
        <v>Manage your Scrum Agile Project with Jira</v>
      </c>
      <c r="F659" s="36" t="s">
        <v>5855</v>
      </c>
      <c r="G659" s="45">
        <v>4.4320955</v>
      </c>
      <c r="H659" s="45">
        <v>3.795833</v>
      </c>
      <c r="I659" s="36" t="s">
        <v>21</v>
      </c>
    </row>
    <row r="660" spans="1:9" ht="12.5">
      <c r="A660" s="47">
        <v>1540846</v>
      </c>
      <c r="B660" s="36" t="s">
        <v>864</v>
      </c>
      <c r="C660" s="36" t="s">
        <v>905</v>
      </c>
      <c r="D660" s="36" t="s">
        <v>5856</v>
      </c>
      <c r="E660" s="48" t="str">
        <f ca="1">IFERROR(__xludf.DUMMYFUNCTION("GOOGLETRANSLATE(D660)"),"Dominating Moodle 2020: Virtual Classrooms from scratch")</f>
        <v>Dominating Moodle 2020: Virtual Classrooms from scratch</v>
      </c>
      <c r="F660" s="36" t="s">
        <v>5857</v>
      </c>
      <c r="G660" s="45">
        <v>4.351769</v>
      </c>
      <c r="H660" s="45">
        <v>2.7638880000000001</v>
      </c>
      <c r="I660" s="36" t="s">
        <v>17</v>
      </c>
    </row>
    <row r="661" spans="1:9" ht="12.5">
      <c r="A661" s="47">
        <v>3307260</v>
      </c>
      <c r="B661" s="36" t="s">
        <v>864</v>
      </c>
      <c r="C661" s="36" t="s">
        <v>881</v>
      </c>
      <c r="D661" s="36" t="s">
        <v>5858</v>
      </c>
      <c r="E661" s="48" t="str">
        <f ca="1">IFERROR(__xludf.DUMMYFUNCTION("GOOGLETRANSLATE(D661)"),"Learn all about Notion: 3 courses 1")</f>
        <v>Learn all about Notion: 3 courses 1</v>
      </c>
      <c r="F661" s="36" t="s">
        <v>5859</v>
      </c>
      <c r="G661" s="45">
        <v>4.5246729999999999</v>
      </c>
      <c r="H661" s="45">
        <v>4.8069439999999997</v>
      </c>
      <c r="I661" s="36" t="s">
        <v>21</v>
      </c>
    </row>
    <row r="662" spans="1:9" ht="12.5">
      <c r="A662" s="47">
        <v>235376</v>
      </c>
      <c r="B662" s="36" t="s">
        <v>864</v>
      </c>
      <c r="C662" s="36" t="s">
        <v>1992</v>
      </c>
      <c r="D662" s="36" t="s">
        <v>5860</v>
      </c>
      <c r="E662" s="48" t="str">
        <f ca="1">IFERROR(__xludf.DUMMYFUNCTION("GOOGLETRANSLATE(D662)"),"Basic computer from scratch")</f>
        <v>Basic computer from scratch</v>
      </c>
      <c r="F662" s="36" t="s">
        <v>5861</v>
      </c>
      <c r="G662" s="45">
        <v>4.496397</v>
      </c>
      <c r="H662" s="45">
        <v>6.8788879999999999</v>
      </c>
      <c r="I662" s="36" t="s">
        <v>17</v>
      </c>
    </row>
    <row r="663" spans="1:9" ht="12.5">
      <c r="A663" s="47">
        <v>1152746</v>
      </c>
      <c r="B663" s="36" t="s">
        <v>864</v>
      </c>
      <c r="C663" s="36" t="s">
        <v>1992</v>
      </c>
      <c r="D663" s="36" t="s">
        <v>5862</v>
      </c>
      <c r="E663" s="48" t="str">
        <f ca="1">IFERROR(__xludf.DUMMYFUNCTION("GOOGLETRANSLATE(D663)"),"full course of Windows 10 (from scratch)")</f>
        <v>full course of Windows 10 (from scratch)</v>
      </c>
      <c r="F663" s="36" t="s">
        <v>5863</v>
      </c>
      <c r="G663" s="45">
        <v>4.3665094</v>
      </c>
      <c r="H663" s="45">
        <v>6.3686109999999996</v>
      </c>
      <c r="I663" s="36" t="s">
        <v>21</v>
      </c>
    </row>
    <row r="664" spans="1:9" ht="12.5">
      <c r="A664" s="47">
        <v>1095436</v>
      </c>
      <c r="B664" s="36" t="s">
        <v>864</v>
      </c>
      <c r="C664" s="36" t="s">
        <v>1992</v>
      </c>
      <c r="D664" s="36" t="s">
        <v>5864</v>
      </c>
      <c r="E664" s="48" t="str">
        <f ca="1">IFERROR(__xludf.DUMMYFUNCTION("GOOGLETRANSLATE(D664)"),"MacOS learn to Fund")</f>
        <v>MacOS learn to Fund</v>
      </c>
      <c r="F664" s="36" t="s">
        <v>5865</v>
      </c>
      <c r="G664" s="45">
        <v>4.755795</v>
      </c>
      <c r="H664" s="45">
        <v>5.4269439999999998</v>
      </c>
      <c r="I664" s="36" t="s">
        <v>17</v>
      </c>
    </row>
    <row r="665" spans="1:9" ht="12.5">
      <c r="A665" s="47">
        <v>987578</v>
      </c>
      <c r="B665" s="36" t="s">
        <v>864</v>
      </c>
      <c r="C665" s="36" t="s">
        <v>1992</v>
      </c>
      <c r="D665" s="36" t="s">
        <v>5866</v>
      </c>
      <c r="E665" s="48" t="str">
        <f ca="1">IFERROR(__xludf.DUMMYFUNCTION("GOOGLETRANSLATE(D665)"),"Optimizing Warehouse, Inventory and Stocks.")</f>
        <v>Optimizing Warehouse, Inventory and Stocks.</v>
      </c>
      <c r="F665" s="36" t="s">
        <v>5867</v>
      </c>
      <c r="G665" s="45">
        <v>4.2814540000000001</v>
      </c>
      <c r="H665" s="45">
        <v>2.5183330000000002</v>
      </c>
      <c r="I665" s="36" t="s">
        <v>17</v>
      </c>
    </row>
    <row r="666" spans="1:9" ht="12.5">
      <c r="A666" s="47">
        <v>107840</v>
      </c>
      <c r="B666" s="36" t="s">
        <v>864</v>
      </c>
      <c r="C666" s="36" t="s">
        <v>875</v>
      </c>
      <c r="D666" s="36" t="s">
        <v>5868</v>
      </c>
      <c r="E666" s="48" t="str">
        <f ca="1">IFERROR(__xludf.DUMMYFUNCTION("GOOGLETRANSLATE(D666)"),"Introduction to PowerPoint 2013")</f>
        <v>Introduction to PowerPoint 2013</v>
      </c>
      <c r="F666" s="36" t="s">
        <v>5869</v>
      </c>
      <c r="G666" s="45">
        <v>4.3023806000000002</v>
      </c>
      <c r="H666" s="45">
        <v>2.8224999999999998</v>
      </c>
      <c r="I666" s="36" t="s">
        <v>72</v>
      </c>
    </row>
    <row r="667" spans="1:9" ht="12.5">
      <c r="A667" s="47">
        <v>377128</v>
      </c>
      <c r="B667" s="36" t="s">
        <v>864</v>
      </c>
      <c r="C667" s="36" t="s">
        <v>875</v>
      </c>
      <c r="D667" s="36" t="s">
        <v>5870</v>
      </c>
      <c r="E667" s="48" t="str">
        <f ca="1">IFERROR(__xludf.DUMMYFUNCTION("GOOGLETRANSLATE(D667)"),"PowerPoint for developing e-Learning")</f>
        <v>PowerPoint for developing e-Learning</v>
      </c>
      <c r="F667" s="36" t="s">
        <v>5871</v>
      </c>
      <c r="G667" s="45">
        <v>4.4295673000000004</v>
      </c>
      <c r="H667" s="45">
        <v>1.232777</v>
      </c>
      <c r="I667" s="36" t="s">
        <v>72</v>
      </c>
    </row>
    <row r="668" spans="1:9" ht="12.5">
      <c r="A668" s="47">
        <v>338742</v>
      </c>
      <c r="B668" s="36" t="s">
        <v>864</v>
      </c>
      <c r="C668" s="36" t="s">
        <v>875</v>
      </c>
      <c r="D668" s="36" t="s">
        <v>5872</v>
      </c>
      <c r="E668" s="48" t="str">
        <f ca="1">IFERROR(__xludf.DUMMYFUNCTION("GOOGLETRANSLATE(D668)"),"Gamification content in Powerpoint 2020")</f>
        <v>Gamification content in Powerpoint 2020</v>
      </c>
      <c r="F668" s="36" t="s">
        <v>5873</v>
      </c>
      <c r="G668" s="45">
        <v>3.7641149</v>
      </c>
      <c r="H668" s="45">
        <v>3.9294440000000002</v>
      </c>
      <c r="I668" s="36" t="s">
        <v>21</v>
      </c>
    </row>
    <row r="669" spans="1:9" ht="12.5">
      <c r="A669" s="47">
        <v>1341936</v>
      </c>
      <c r="B669" s="36" t="s">
        <v>864</v>
      </c>
      <c r="C669" s="36" t="s">
        <v>865</v>
      </c>
      <c r="D669" s="36" t="s">
        <v>5874</v>
      </c>
      <c r="E669" s="48" t="str">
        <f ca="1">IFERROR(__xludf.DUMMYFUNCTION("GOOGLETRANSLATE(D669)"),"Complete Excel - from beginner to advanced")</f>
        <v>Complete Excel - from beginner to advanced</v>
      </c>
      <c r="F669" s="36" t="s">
        <v>5824</v>
      </c>
      <c r="G669" s="45">
        <v>4.6244490000000003</v>
      </c>
      <c r="H669" s="45">
        <v>11.676666000000001</v>
      </c>
      <c r="I669" s="36" t="s">
        <v>21</v>
      </c>
    </row>
    <row r="670" spans="1:9" ht="12.5">
      <c r="A670" s="47">
        <v>2181526</v>
      </c>
      <c r="B670" s="36" t="s">
        <v>864</v>
      </c>
      <c r="C670" s="36" t="s">
        <v>865</v>
      </c>
      <c r="D670" s="36" t="s">
        <v>5875</v>
      </c>
      <c r="E670" s="48" t="str">
        <f ca="1">IFERROR(__xludf.DUMMYFUNCTION("GOOGLETRANSLATE(D670)"),"Excel TOTAL - [2020] - VBA Pivot Tables, dashboards and +")</f>
        <v>Excel TOTAL - [2020] - VBA Pivot Tables, dashboards and +</v>
      </c>
      <c r="F670" s="36" t="s">
        <v>5118</v>
      </c>
      <c r="G670" s="45">
        <v>4.6416582999999996</v>
      </c>
      <c r="H670" s="45">
        <v>29.71611</v>
      </c>
      <c r="I670" s="36" t="s">
        <v>21</v>
      </c>
    </row>
    <row r="671" spans="1:9" ht="12.5">
      <c r="A671" s="47">
        <v>2369118</v>
      </c>
      <c r="B671" s="36" t="s">
        <v>864</v>
      </c>
      <c r="C671" s="36" t="s">
        <v>865</v>
      </c>
      <c r="D671" s="36" t="s">
        <v>5876</v>
      </c>
      <c r="E671" s="48" t="str">
        <f ca="1">IFERROR(__xludf.DUMMYFUNCTION("GOOGLETRANSLATE(D671)"),"Course Excel and Power BI - Analysis and Data Visualization")</f>
        <v>Course Excel and Power BI - Analysis and Data Visualization</v>
      </c>
      <c r="F671" s="36" t="s">
        <v>4933</v>
      </c>
      <c r="G671" s="45">
        <v>4.5856709999999996</v>
      </c>
      <c r="H671" s="45">
        <v>11.648054999999999</v>
      </c>
      <c r="I671" s="36" t="s">
        <v>21</v>
      </c>
    </row>
    <row r="672" spans="1:9" ht="12.5">
      <c r="A672" s="47">
        <v>1212882</v>
      </c>
      <c r="B672" s="36" t="s">
        <v>864</v>
      </c>
      <c r="C672" s="36" t="s">
        <v>865</v>
      </c>
      <c r="D672" s="36" t="s">
        <v>5877</v>
      </c>
      <c r="E672" s="48" t="str">
        <f ca="1">IFERROR(__xludf.DUMMYFUNCTION("GOOGLETRANSLATE(D672)"),"Macros and VBA: Program, automates and extends Microsoft Excel.")</f>
        <v>Macros and VBA: Program, automates and extends Microsoft Excel.</v>
      </c>
      <c r="F672" s="36" t="s">
        <v>5878</v>
      </c>
      <c r="G672" s="45">
        <v>4.5217580000000002</v>
      </c>
      <c r="H672" s="45">
        <v>15.328055000000001</v>
      </c>
      <c r="I672" s="46" t="s">
        <v>72</v>
      </c>
    </row>
    <row r="673" spans="1:9" ht="12.5">
      <c r="A673" s="41">
        <v>1399780</v>
      </c>
      <c r="B673" s="42" t="s">
        <v>864</v>
      </c>
      <c r="C673" s="43" t="s">
        <v>865</v>
      </c>
      <c r="D673" s="36" t="s">
        <v>5879</v>
      </c>
      <c r="E673" s="48" t="str">
        <f ca="1">IFERROR(__xludf.DUMMYFUNCTION("GOOGLETRANSLATE(D673)"),"Pivot Tables: Data Analysis in Microsoft Excel.")</f>
        <v>Pivot Tables: Data Analysis in Microsoft Excel.</v>
      </c>
      <c r="F673" s="36" t="s">
        <v>5878</v>
      </c>
      <c r="G673" s="45">
        <v>4.6664066000000002</v>
      </c>
      <c r="H673" s="45">
        <v>11.407776999999999</v>
      </c>
      <c r="I673" s="46" t="s">
        <v>21</v>
      </c>
    </row>
    <row r="674" spans="1:9" ht="12.5">
      <c r="A674" s="41">
        <v>899474</v>
      </c>
      <c r="B674" s="42" t="s">
        <v>864</v>
      </c>
      <c r="C674" s="43" t="s">
        <v>865</v>
      </c>
      <c r="D674" s="36" t="s">
        <v>5880</v>
      </c>
      <c r="E674" s="48" t="str">
        <f ca="1">IFERROR(__xludf.DUMMYFUNCTION("GOOGLETRANSLATE(D674)"),"Start with Excel: Excel Course for Beginners")</f>
        <v>Start with Excel: Excel Course for Beginners</v>
      </c>
      <c r="F674" s="36" t="s">
        <v>5268</v>
      </c>
      <c r="G674" s="45">
        <v>4.2114079999999996</v>
      </c>
      <c r="H674" s="45">
        <v>0.93972199999999995</v>
      </c>
      <c r="I674" s="46" t="s">
        <v>17</v>
      </c>
    </row>
    <row r="675" spans="1:9" ht="12.5">
      <c r="A675" s="47">
        <v>1981074</v>
      </c>
      <c r="B675" s="36" t="s">
        <v>864</v>
      </c>
      <c r="C675" s="36" t="s">
        <v>865</v>
      </c>
      <c r="D675" s="36" t="s">
        <v>5881</v>
      </c>
      <c r="E675" s="48" t="str">
        <f ca="1">IFERROR(__xludf.DUMMYFUNCTION("GOOGLETRANSLATE(D675)"),"Microsoft Excel - Formulas and Functions in Excel Advanced")</f>
        <v>Microsoft Excel - Formulas and Functions in Excel Advanced</v>
      </c>
      <c r="F675" s="36" t="s">
        <v>5882</v>
      </c>
      <c r="G675" s="45">
        <v>4.6085463000000004</v>
      </c>
      <c r="H675" s="45">
        <v>7.1997220000000004</v>
      </c>
      <c r="I675" s="46" t="s">
        <v>21</v>
      </c>
    </row>
    <row r="676" spans="1:9" ht="12.5">
      <c r="A676" s="47">
        <v>2318250</v>
      </c>
      <c r="B676" s="36" t="s">
        <v>864</v>
      </c>
      <c r="C676" s="36" t="s">
        <v>865</v>
      </c>
      <c r="D676" s="36" t="s">
        <v>5883</v>
      </c>
      <c r="E676" s="48" t="str">
        <f ca="1">IFERROR(__xludf.DUMMYFUNCTION("GOOGLETRANSLATE(D676)"),"Microsoft Excel - Data Visualization and Graphics in Excel")</f>
        <v>Microsoft Excel - Data Visualization and Graphics in Excel</v>
      </c>
      <c r="F676" s="36" t="s">
        <v>5882</v>
      </c>
      <c r="G676" s="45">
        <v>4.695322</v>
      </c>
      <c r="H676" s="45">
        <v>4.8541660000000002</v>
      </c>
      <c r="I676" s="46" t="s">
        <v>21</v>
      </c>
    </row>
    <row r="677" spans="1:9" ht="12.5">
      <c r="A677" s="47">
        <v>2872884</v>
      </c>
      <c r="B677" s="36" t="s">
        <v>864</v>
      </c>
      <c r="C677" s="36" t="s">
        <v>865</v>
      </c>
      <c r="D677" s="36" t="s">
        <v>5884</v>
      </c>
      <c r="E677" s="48" t="str">
        <f ca="1">IFERROR(__xludf.DUMMYFUNCTION("GOOGLETRANSLATE(D677)"),"Pivot Tables in Excel - Dashboards and Data Analysis")</f>
        <v>Pivot Tables in Excel - Dashboards and Data Analysis</v>
      </c>
      <c r="F677" s="36" t="s">
        <v>5118</v>
      </c>
      <c r="G677" s="45">
        <v>4.6366829999999997</v>
      </c>
      <c r="H677" s="45">
        <v>3.4161109999999999</v>
      </c>
      <c r="I677" s="46" t="s">
        <v>21</v>
      </c>
    </row>
    <row r="678" spans="1:9" ht="12.5">
      <c r="A678" s="41">
        <v>3347066</v>
      </c>
      <c r="B678" s="36" t="s">
        <v>864</v>
      </c>
      <c r="C678" s="36" t="s">
        <v>865</v>
      </c>
      <c r="D678" s="36" t="s">
        <v>5885</v>
      </c>
      <c r="E678" s="48" t="str">
        <f ca="1">IFERROR(__xludf.DUMMYFUNCTION("GOOGLETRANSLATE(D678)"),"Excel tricks and shortcuts")</f>
        <v>Excel tricks and shortcuts</v>
      </c>
      <c r="F678" s="36" t="s">
        <v>5118</v>
      </c>
      <c r="G678" s="45">
        <v>4.7880387000000004</v>
      </c>
      <c r="H678" s="45">
        <v>1.916944</v>
      </c>
      <c r="I678" s="46" t="s">
        <v>72</v>
      </c>
    </row>
    <row r="679" spans="1:9" ht="12.5">
      <c r="A679" s="47">
        <v>538530</v>
      </c>
      <c r="B679" s="36" t="s">
        <v>864</v>
      </c>
      <c r="C679" s="36" t="s">
        <v>865</v>
      </c>
      <c r="D679" s="36" t="s">
        <v>5886</v>
      </c>
      <c r="E679" s="48" t="str">
        <f ca="1">IFERROR(__xludf.DUMMYFUNCTION("GOOGLETRANSLATE(D679)"),"Pivot tables and data analysis and hypotheses with Excel")</f>
        <v>Pivot tables and data analysis and hypotheses with Excel</v>
      </c>
      <c r="F679" s="36" t="s">
        <v>5887</v>
      </c>
      <c r="G679" s="45">
        <v>4.8049736000000003</v>
      </c>
      <c r="H679" s="45">
        <v>5.6683329999999996</v>
      </c>
      <c r="I679" s="46" t="s">
        <v>21</v>
      </c>
    </row>
    <row r="680" spans="1:9" ht="12.5">
      <c r="A680" s="41">
        <v>1692930</v>
      </c>
      <c r="B680" s="42" t="s">
        <v>864</v>
      </c>
      <c r="C680" s="43" t="s">
        <v>865</v>
      </c>
      <c r="D680" s="36" t="s">
        <v>5888</v>
      </c>
      <c r="E680" s="48" t="str">
        <f ca="1">IFERROR(__xludf.DUMMYFUNCTION("GOOGLETRANSLATE(D680)"),"Microsoft Excel Analysis: Power Pivot, and DAX Power Query.")</f>
        <v>Microsoft Excel Analysis: Power Pivot, and DAX Power Query.</v>
      </c>
      <c r="F680" s="36" t="s">
        <v>5878</v>
      </c>
      <c r="G680" s="45">
        <v>4.6867409999999996</v>
      </c>
      <c r="H680" s="45">
        <v>27.767776000000001</v>
      </c>
      <c r="I680" s="46" t="s">
        <v>72</v>
      </c>
    </row>
    <row r="681" spans="1:9" ht="12.5">
      <c r="A681" s="41">
        <v>1475928</v>
      </c>
      <c r="B681" s="42" t="s">
        <v>864</v>
      </c>
      <c r="C681" s="43" t="s">
        <v>865</v>
      </c>
      <c r="D681" s="36" t="s">
        <v>5889</v>
      </c>
      <c r="E681" s="48" t="str">
        <f ca="1">IFERROR(__xludf.DUMMYFUNCTION("GOOGLETRANSLATE(D681)"),"The power of Excel from basic to data analysis")</f>
        <v>The power of Excel from basic to data analysis</v>
      </c>
      <c r="F681" s="36" t="s">
        <v>4941</v>
      </c>
      <c r="G681" s="45">
        <v>4.5254110000000001</v>
      </c>
      <c r="H681" s="45">
        <v>7.5061109999999998</v>
      </c>
      <c r="I681" s="46" t="s">
        <v>17</v>
      </c>
    </row>
    <row r="682" spans="1:9" ht="12.5">
      <c r="A682" s="41">
        <v>2019550</v>
      </c>
      <c r="B682" s="36" t="s">
        <v>864</v>
      </c>
      <c r="C682" s="36" t="s">
        <v>865</v>
      </c>
      <c r="D682" s="36" t="s">
        <v>5890</v>
      </c>
      <c r="E682" s="48" t="str">
        <f ca="1">IFERROR(__xludf.DUMMYFUNCTION("GOOGLETRANSLATE(D682)"),"Master in VBA Excel (macros develops and creates applications).")</f>
        <v>Master in VBA Excel (macros develops and creates applications).</v>
      </c>
      <c r="F682" s="36" t="s">
        <v>5891</v>
      </c>
      <c r="G682" s="45">
        <v>4.2961692999999999</v>
      </c>
      <c r="H682" s="45">
        <v>23.124442999999999</v>
      </c>
      <c r="I682" s="46" t="s">
        <v>21</v>
      </c>
    </row>
    <row r="683" spans="1:9" ht="12.5">
      <c r="A683" s="47">
        <v>1397068</v>
      </c>
      <c r="B683" s="36" t="s">
        <v>864</v>
      </c>
      <c r="C683" s="36" t="s">
        <v>865</v>
      </c>
      <c r="D683" s="36" t="s">
        <v>5892</v>
      </c>
      <c r="E683" s="48" t="str">
        <f ca="1">IFERROR(__xludf.DUMMYFUNCTION("GOOGLETRANSLATE(D683)"),"Excel 2016 from zero to expert!")</f>
        <v>Excel 2016 from zero to expert!</v>
      </c>
      <c r="F683" s="36" t="s">
        <v>5529</v>
      </c>
      <c r="G683" s="45">
        <v>4.5321319999999998</v>
      </c>
      <c r="H683" s="45">
        <v>4.913888</v>
      </c>
      <c r="I683" s="36" t="s">
        <v>21</v>
      </c>
    </row>
    <row r="684" spans="1:9" ht="12.5">
      <c r="A684" s="47">
        <v>2557972</v>
      </c>
      <c r="B684" s="36" t="s">
        <v>864</v>
      </c>
      <c r="C684" s="36" t="s">
        <v>865</v>
      </c>
      <c r="D684" s="36" t="s">
        <v>5893</v>
      </c>
      <c r="E684" s="48" t="str">
        <f ca="1">IFERROR(__xludf.DUMMYFUNCTION("GOOGLETRANSLATE(D684)"),"Excel - Pivot Tables and PowerPivot")</f>
        <v>Excel - Pivot Tables and PowerPivot</v>
      </c>
      <c r="F684" s="36" t="s">
        <v>5824</v>
      </c>
      <c r="G684" s="45">
        <v>4.6164079999999998</v>
      </c>
      <c r="H684" s="45">
        <v>3.985277</v>
      </c>
      <c r="I684" s="36" t="s">
        <v>21</v>
      </c>
    </row>
    <row r="685" spans="1:9" ht="12.5">
      <c r="A685" s="47">
        <v>2235804</v>
      </c>
      <c r="B685" s="36" t="s">
        <v>864</v>
      </c>
      <c r="C685" s="36" t="s">
        <v>865</v>
      </c>
      <c r="D685" s="36" t="s">
        <v>5894</v>
      </c>
      <c r="E685" s="48" t="str">
        <f ca="1">IFERROR(__xludf.DUMMYFUNCTION("GOOGLETRANSLATE(D685)"),"Excel Masterclass: Level 2 - Advanced")</f>
        <v>Excel Masterclass: Level 2 - Advanced</v>
      </c>
      <c r="F685" s="36" t="s">
        <v>5118</v>
      </c>
      <c r="G685" s="45">
        <v>4.3670549999999997</v>
      </c>
      <c r="H685" s="45">
        <v>8.6458329999999997</v>
      </c>
      <c r="I685" s="36" t="s">
        <v>72</v>
      </c>
    </row>
    <row r="686" spans="1:9" ht="12.5">
      <c r="A686" s="47">
        <v>195108</v>
      </c>
      <c r="B686" s="36" t="s">
        <v>864</v>
      </c>
      <c r="C686" s="36" t="s">
        <v>865</v>
      </c>
      <c r="D686" s="36" t="s">
        <v>5895</v>
      </c>
      <c r="E686" s="48" t="str">
        <f ca="1">IFERROR(__xludf.DUMMYFUNCTION("GOOGLETRANSLATE(D686)"),"Excel Complete: beginner to advanced + certificate")</f>
        <v>Excel Complete: beginner to advanced + certificate</v>
      </c>
      <c r="F686" s="36" t="s">
        <v>5896</v>
      </c>
      <c r="G686" s="45">
        <v>4.5036189999999996</v>
      </c>
      <c r="H686" s="45">
        <v>4.386666</v>
      </c>
      <c r="I686" s="36" t="s">
        <v>21</v>
      </c>
    </row>
    <row r="687" spans="1:9" ht="12.5">
      <c r="A687" s="47">
        <v>771766</v>
      </c>
      <c r="B687" s="36" t="s">
        <v>864</v>
      </c>
      <c r="C687" s="36" t="s">
        <v>865</v>
      </c>
      <c r="D687" s="36" t="s">
        <v>5897</v>
      </c>
      <c r="E687" s="48" t="str">
        <f ca="1">IFERROR(__xludf.DUMMYFUNCTION("GOOGLETRANSLATE(D687)"),"Excel and VBA macros for busy people")</f>
        <v>Excel and VBA macros for busy people</v>
      </c>
      <c r="F687" s="36" t="s">
        <v>5683</v>
      </c>
      <c r="G687" s="45">
        <v>4.5497990000000001</v>
      </c>
      <c r="H687" s="45">
        <v>3.2058330000000002</v>
      </c>
      <c r="I687" s="36" t="s">
        <v>72</v>
      </c>
    </row>
    <row r="688" spans="1:9" ht="12.5">
      <c r="A688" s="47">
        <v>2071231</v>
      </c>
      <c r="B688" s="36" t="s">
        <v>864</v>
      </c>
      <c r="C688" s="36" t="s">
        <v>865</v>
      </c>
      <c r="D688" s="36" t="s">
        <v>5898</v>
      </c>
      <c r="E688" s="48" t="str">
        <f ca="1">IFERROR(__xludf.DUMMYFUNCTION("GOOGLETRANSLATE(D688)"),"Microsoft Excel - from basic to the most professional")</f>
        <v>Microsoft Excel - from basic to the most professional</v>
      </c>
      <c r="F688" s="36" t="s">
        <v>5521</v>
      </c>
      <c r="G688" s="45">
        <v>4.6006910000000003</v>
      </c>
      <c r="H688" s="45">
        <v>12.293055000000001</v>
      </c>
      <c r="I688" s="36" t="s">
        <v>21</v>
      </c>
    </row>
    <row r="689" spans="1:9" ht="12.5">
      <c r="A689" s="47">
        <v>3268456</v>
      </c>
      <c r="B689" s="36" t="s">
        <v>864</v>
      </c>
      <c r="C689" s="36" t="s">
        <v>865</v>
      </c>
      <c r="D689" s="36" t="s">
        <v>5899</v>
      </c>
      <c r="E689" s="48" t="str">
        <f ca="1">IFERROR(__xludf.DUMMYFUNCTION("GOOGLETRANSLATE(D689)"),"Full Online Course in Spanish Excel")</f>
        <v>Full Online Course in Spanish Excel</v>
      </c>
      <c r="F689" s="36" t="s">
        <v>5900</v>
      </c>
      <c r="G689" s="45">
        <v>4.5793552000000002</v>
      </c>
      <c r="H689" s="45">
        <v>6.871111</v>
      </c>
      <c r="I689" s="36" t="s">
        <v>21</v>
      </c>
    </row>
    <row r="690" spans="1:9" ht="12.5">
      <c r="A690" s="47">
        <v>1641798</v>
      </c>
      <c r="B690" s="36" t="s">
        <v>864</v>
      </c>
      <c r="C690" s="36" t="s">
        <v>899</v>
      </c>
      <c r="D690" s="36" t="s">
        <v>5901</v>
      </c>
      <c r="E690" s="48" t="str">
        <f ca="1">IFERROR(__xludf.DUMMYFUNCTION("GOOGLETRANSLATE(D690)"),"Professionalize your work with Microsoft Word")</f>
        <v>Professionalize your work with Microsoft Word</v>
      </c>
      <c r="F690" s="36" t="s">
        <v>4941</v>
      </c>
      <c r="G690" s="45">
        <v>4.739668</v>
      </c>
      <c r="H690" s="45">
        <v>4.2816660000000004</v>
      </c>
      <c r="I690" s="36" t="s">
        <v>72</v>
      </c>
    </row>
    <row r="691" spans="1:9" ht="12.5">
      <c r="A691" s="47">
        <v>1192862</v>
      </c>
      <c r="B691" s="36" t="s">
        <v>913</v>
      </c>
      <c r="C691" s="36" t="s">
        <v>970</v>
      </c>
      <c r="D691" s="36" t="s">
        <v>5902</v>
      </c>
      <c r="E691" s="48" t="str">
        <f ca="1">IFERROR(__xludf.DUMMYFUNCTION("GOOGLETRANSLATE(D691)"),"Digital photography. Learn with us")</f>
        <v>Digital photography. Learn with us</v>
      </c>
      <c r="F691" s="36" t="s">
        <v>5903</v>
      </c>
      <c r="G691" s="45">
        <v>4.4680242999999997</v>
      </c>
      <c r="H691" s="45">
        <v>1.960833</v>
      </c>
      <c r="I691" s="36" t="s">
        <v>17</v>
      </c>
    </row>
    <row r="692" spans="1:9" ht="12.5">
      <c r="A692" s="47">
        <v>1982518</v>
      </c>
      <c r="B692" s="36" t="s">
        <v>913</v>
      </c>
      <c r="C692" s="36" t="s">
        <v>970</v>
      </c>
      <c r="D692" s="36" t="s">
        <v>5904</v>
      </c>
      <c r="E692" s="48" t="str">
        <f ca="1">IFERROR(__xludf.DUMMYFUNCTION("GOOGLETRANSLATE(D692)"),"Creativity and innovation - Check your brain lap")</f>
        <v>Creativity and innovation - Check your brain lap</v>
      </c>
      <c r="F692" s="36" t="s">
        <v>5701</v>
      </c>
      <c r="G692" s="45">
        <v>4.9530535000000002</v>
      </c>
      <c r="H692" s="45">
        <v>2.9747219999999999</v>
      </c>
      <c r="I692" s="36" t="s">
        <v>259</v>
      </c>
    </row>
    <row r="693" spans="1:9" ht="12.5">
      <c r="A693" s="47">
        <v>1090454</v>
      </c>
      <c r="B693" s="36" t="s">
        <v>913</v>
      </c>
      <c r="C693" s="36" t="s">
        <v>970</v>
      </c>
      <c r="D693" s="36" t="s">
        <v>5905</v>
      </c>
      <c r="E693" s="48" t="str">
        <f ca="1">IFERROR(__xludf.DUMMYFUNCTION("GOOGLETRANSLATE(D693)"),"Mastering Audio: The complete guide to mastering")</f>
        <v>Mastering Audio: The complete guide to mastering</v>
      </c>
      <c r="F693" s="36" t="s">
        <v>5906</v>
      </c>
      <c r="G693" s="45">
        <v>4.5046134000000002</v>
      </c>
      <c r="H693" s="45">
        <v>2.8488880000000001</v>
      </c>
      <c r="I693" s="36" t="s">
        <v>21</v>
      </c>
    </row>
    <row r="694" spans="1:9" ht="12.5">
      <c r="A694" s="47">
        <v>1243078</v>
      </c>
      <c r="B694" s="36" t="s">
        <v>913</v>
      </c>
      <c r="C694" s="36" t="s">
        <v>970</v>
      </c>
      <c r="D694" s="36" t="s">
        <v>5907</v>
      </c>
      <c r="E694" s="48" t="str">
        <f ca="1">IFERROR(__xludf.DUMMYFUNCTION("GOOGLETRANSLATE(D694)"),"Logic Pro X Full Course with secrets Production")</f>
        <v>Logic Pro X Full Course with secrets Production</v>
      </c>
      <c r="F694" s="36" t="s">
        <v>5908</v>
      </c>
      <c r="G694" s="45">
        <v>3.9571817</v>
      </c>
      <c r="H694" s="45">
        <v>8.0833329999999997</v>
      </c>
      <c r="I694" s="36" t="s">
        <v>21</v>
      </c>
    </row>
    <row r="695" spans="1:9" ht="12.5">
      <c r="A695" s="47">
        <v>1803524</v>
      </c>
      <c r="B695" s="36" t="s">
        <v>913</v>
      </c>
      <c r="C695" s="36" t="s">
        <v>5909</v>
      </c>
      <c r="D695" s="36" t="s">
        <v>5910</v>
      </c>
      <c r="E695" s="48" t="str">
        <f ca="1">IFERROR(__xludf.DUMMYFUNCTION("GOOGLETRANSLATE(D695)"),"Learn how to easily write: 30 creativity exercises")</f>
        <v>Learn how to easily write: 30 creativity exercises</v>
      </c>
      <c r="F695" s="36" t="s">
        <v>5718</v>
      </c>
      <c r="G695" s="45">
        <v>4.7188949999999998</v>
      </c>
      <c r="H695" s="45">
        <v>1.4161109999999999</v>
      </c>
      <c r="I695" s="36" t="s">
        <v>21</v>
      </c>
    </row>
    <row r="696" spans="1:9" ht="12.5">
      <c r="A696" s="47">
        <v>444494</v>
      </c>
      <c r="B696" s="36" t="s">
        <v>913</v>
      </c>
      <c r="C696" s="36" t="s">
        <v>914</v>
      </c>
      <c r="D696" s="36" t="s">
        <v>5911</v>
      </c>
      <c r="E696" s="48" t="str">
        <f ca="1">IFERROR(__xludf.DUMMYFUNCTION("GOOGLETRANSLATE(D696)"),"Basic English: Everything essential for Spanish speakers")</f>
        <v>Basic English: Everything essential for Spanish speakers</v>
      </c>
      <c r="F696" s="36" t="s">
        <v>5912</v>
      </c>
      <c r="G696" s="45">
        <v>4.4898844000000002</v>
      </c>
      <c r="H696" s="45">
        <v>5.2275</v>
      </c>
      <c r="I696" s="36" t="s">
        <v>17</v>
      </c>
    </row>
    <row r="697" spans="1:9" ht="12.5">
      <c r="A697" s="47">
        <v>1159626</v>
      </c>
      <c r="B697" s="36" t="s">
        <v>913</v>
      </c>
      <c r="C697" s="36" t="s">
        <v>914</v>
      </c>
      <c r="D697" s="36" t="s">
        <v>5913</v>
      </c>
      <c r="E697" s="48" t="str">
        <f ca="1">IFERROR(__xludf.DUMMYFUNCTION("GOOGLETRANSLATE(D697)"),"Basic English for Beginners: A solid foundation, talking.")</f>
        <v>Basic English for Beginners: A solid foundation, talking.</v>
      </c>
      <c r="F697" s="36" t="s">
        <v>5914</v>
      </c>
      <c r="G697" s="45">
        <v>4.5369070000000002</v>
      </c>
      <c r="H697" s="45">
        <v>2.8888880000000001</v>
      </c>
      <c r="I697" s="36" t="s">
        <v>17</v>
      </c>
    </row>
    <row r="698" spans="1:9" ht="12.5">
      <c r="A698" s="47">
        <v>1205998</v>
      </c>
      <c r="B698" s="36" t="s">
        <v>913</v>
      </c>
      <c r="C698" s="36" t="s">
        <v>914</v>
      </c>
      <c r="D698" s="36" t="s">
        <v>5915</v>
      </c>
      <c r="E698" s="48" t="str">
        <f ca="1">IFERROR(__xludf.DUMMYFUNCTION("GOOGLETRANSLATE(D698)"),"5 minutes day to improve your English: for busy people")</f>
        <v>5 minutes day to improve your English: for busy people</v>
      </c>
      <c r="F698" s="36" t="s">
        <v>5916</v>
      </c>
      <c r="G698" s="45">
        <v>4.5912503999999998</v>
      </c>
      <c r="H698" s="45">
        <v>6.2872219999999999</v>
      </c>
      <c r="I698" s="36" t="s">
        <v>17</v>
      </c>
    </row>
    <row r="699" spans="1:9" ht="12.5">
      <c r="A699" s="47">
        <v>1504078</v>
      </c>
      <c r="B699" s="36" t="s">
        <v>913</v>
      </c>
      <c r="C699" s="36" t="s">
        <v>914</v>
      </c>
      <c r="D699" s="36" t="s">
        <v>5917</v>
      </c>
      <c r="E699" s="48" t="str">
        <f ca="1">IFERROR(__xludf.DUMMYFUNCTION("GOOGLETRANSLATE(D699)"),"Master Inglés: Learn to speak English so Simple")</f>
        <v>Master Inglés: Learn to speak English so Simple</v>
      </c>
      <c r="F699" s="36" t="s">
        <v>5918</v>
      </c>
      <c r="G699" s="45">
        <v>4.2458470000000004</v>
      </c>
      <c r="H699" s="45">
        <v>2.9152770000000001</v>
      </c>
      <c r="I699" s="36" t="s">
        <v>21</v>
      </c>
    </row>
    <row r="700" spans="1:9" ht="12.5">
      <c r="A700" s="47">
        <v>796764</v>
      </c>
      <c r="B700" s="36" t="s">
        <v>913</v>
      </c>
      <c r="C700" s="36" t="s">
        <v>914</v>
      </c>
      <c r="D700" s="36" t="s">
        <v>5919</v>
      </c>
      <c r="E700" s="48" t="str">
        <f ca="1">IFERROR(__xludf.DUMMYFUNCTION("GOOGLETRANSLATE(D700)"),"Business English: Vocabulary and Expressions Essential")</f>
        <v>Business English: Vocabulary and Expressions Essential</v>
      </c>
      <c r="F700" s="36" t="s">
        <v>5912</v>
      </c>
      <c r="G700" s="45">
        <v>4.3915357999999998</v>
      </c>
      <c r="H700" s="45">
        <v>2.5125000000000002</v>
      </c>
      <c r="I700" s="36" t="s">
        <v>72</v>
      </c>
    </row>
    <row r="701" spans="1:9" ht="12.5">
      <c r="A701" s="47">
        <v>1350108</v>
      </c>
      <c r="B701" s="36" t="s">
        <v>913</v>
      </c>
      <c r="C701" s="36" t="s">
        <v>914</v>
      </c>
      <c r="D701" s="36" t="s">
        <v>5920</v>
      </c>
      <c r="E701" s="48" t="str">
        <f ca="1">IFERROR(__xludf.DUMMYFUNCTION("GOOGLETRANSLATE(D701)"),"English Pronunciation for Spanish Speakers - curso de inglés")</f>
        <v>English Pronunciation for Spanish Speakers - curso de inglés</v>
      </c>
      <c r="F701" s="36" t="s">
        <v>919</v>
      </c>
      <c r="G701" s="45">
        <v>4.3961104999999998</v>
      </c>
      <c r="H701" s="45">
        <v>2.1261109999999999</v>
      </c>
      <c r="I701" s="36" t="s">
        <v>21</v>
      </c>
    </row>
    <row r="702" spans="1:9" ht="12.5">
      <c r="A702" s="47">
        <v>1930746</v>
      </c>
      <c r="B702" s="36" t="s">
        <v>913</v>
      </c>
      <c r="C702" s="36" t="s">
        <v>914</v>
      </c>
      <c r="D702" s="36" t="s">
        <v>5921</v>
      </c>
      <c r="E702" s="48" t="str">
        <f ca="1">IFERROR(__xludf.DUMMYFUNCTION("GOOGLETRANSLATE(D702)"),"Basic French course for Spanish speakers ✓ Step By Step")</f>
        <v>Basic French course for Spanish speakers ✓ Step By Step</v>
      </c>
      <c r="F702" s="36" t="s">
        <v>5922</v>
      </c>
      <c r="G702" s="45">
        <v>4.6379159999999997</v>
      </c>
      <c r="H702" s="45">
        <v>3.8788879999999999</v>
      </c>
      <c r="I702" s="36" t="s">
        <v>17</v>
      </c>
    </row>
    <row r="703" spans="1:9" ht="12.5">
      <c r="A703" s="47">
        <v>1831792</v>
      </c>
      <c r="B703" s="36" t="s">
        <v>913</v>
      </c>
      <c r="C703" s="36" t="s">
        <v>914</v>
      </c>
      <c r="D703" s="36" t="s">
        <v>5923</v>
      </c>
      <c r="E703" s="48" t="str">
        <f ca="1">IFERROR(__xludf.DUMMYFUNCTION("GOOGLETRANSLATE(D703)"),"How to Learn English at Home Fast Easy Techniques 3")</f>
        <v>How to Learn English at Home Fast Easy Techniques 3</v>
      </c>
      <c r="F703" s="36" t="s">
        <v>5924</v>
      </c>
      <c r="G703" s="45">
        <v>4.4837426999999996</v>
      </c>
      <c r="H703" s="45">
        <v>2.9130549999999999</v>
      </c>
      <c r="I703" s="36" t="s">
        <v>21</v>
      </c>
    </row>
    <row r="704" spans="1:9" ht="12.5">
      <c r="A704" s="47">
        <v>1224984</v>
      </c>
      <c r="B704" s="36" t="s">
        <v>913</v>
      </c>
      <c r="C704" s="36" t="s">
        <v>914</v>
      </c>
      <c r="D704" s="36" t="s">
        <v>5925</v>
      </c>
      <c r="E704" s="48" t="str">
        <f ca="1">IFERROR(__xludf.DUMMYFUNCTION("GOOGLETRANSLATE(D704)"),"Basic English 2: A solid base, talking.")</f>
        <v>Basic English 2: A solid base, talking.</v>
      </c>
      <c r="F704" s="36" t="s">
        <v>5914</v>
      </c>
      <c r="G704" s="45">
        <v>4.6605715999999999</v>
      </c>
      <c r="H704" s="45">
        <v>2.828055</v>
      </c>
      <c r="I704" s="36" t="s">
        <v>17</v>
      </c>
    </row>
    <row r="705" spans="1:9" ht="12.5">
      <c r="A705" s="47">
        <v>1319220</v>
      </c>
      <c r="B705" s="36" t="s">
        <v>913</v>
      </c>
      <c r="C705" s="36" t="s">
        <v>914</v>
      </c>
      <c r="D705" s="36" t="s">
        <v>5926</v>
      </c>
      <c r="E705" s="48" t="str">
        <f ca="1">IFERROR(__xludf.DUMMYFUNCTION("GOOGLETRANSLATE(D705)"),"Intensive Spanish Listening")</f>
        <v>Intensive Spanish Listening</v>
      </c>
      <c r="F705" s="36" t="s">
        <v>5927</v>
      </c>
      <c r="G705" s="45">
        <v>4.7056345999999998</v>
      </c>
      <c r="H705" s="45">
        <v>2.6625000000000001</v>
      </c>
      <c r="I705" s="36" t="s">
        <v>72</v>
      </c>
    </row>
    <row r="706" spans="1:9" ht="12.5">
      <c r="A706" s="47">
        <v>1979536</v>
      </c>
      <c r="B706" s="36" t="s">
        <v>913</v>
      </c>
      <c r="C706" s="36" t="s">
        <v>914</v>
      </c>
      <c r="D706" s="36" t="s">
        <v>5928</v>
      </c>
      <c r="E706" s="48" t="str">
        <f ca="1">IFERROR(__xludf.DUMMYFUNCTION("GOOGLETRANSLATE(D706)"),"Italian Course for Beginners")</f>
        <v>Italian Course for Beginners</v>
      </c>
      <c r="F706" s="36" t="s">
        <v>955</v>
      </c>
      <c r="G706" s="45">
        <v>4.3884787999999997</v>
      </c>
      <c r="H706" s="45">
        <v>6.9130549999999999</v>
      </c>
      <c r="I706" s="36" t="s">
        <v>21</v>
      </c>
    </row>
    <row r="707" spans="1:9" ht="12.5">
      <c r="A707" s="47">
        <v>2321952</v>
      </c>
      <c r="B707" s="36" t="s">
        <v>913</v>
      </c>
      <c r="C707" s="36" t="s">
        <v>914</v>
      </c>
      <c r="D707" s="36" t="s">
        <v>5929</v>
      </c>
      <c r="E707" s="48" t="str">
        <f ca="1">IFERROR(__xludf.DUMMYFUNCTION("GOOGLETRANSLATE(D707)"),"Course German 1 | The Easy Way to Learn German")</f>
        <v>Course German 1 | The Easy Way to Learn German</v>
      </c>
      <c r="F707" s="36" t="s">
        <v>5930</v>
      </c>
      <c r="G707" s="45">
        <v>4.4911865999999998</v>
      </c>
      <c r="H707" s="45">
        <v>21.583055000000002</v>
      </c>
      <c r="I707" s="36" t="s">
        <v>17</v>
      </c>
    </row>
    <row r="708" spans="1:9" ht="12.5">
      <c r="A708" s="47">
        <v>288156</v>
      </c>
      <c r="B708" s="36" t="s">
        <v>913</v>
      </c>
      <c r="C708" s="36" t="s">
        <v>914</v>
      </c>
      <c r="D708" s="36" t="s">
        <v>5931</v>
      </c>
      <c r="E708" s="48" t="str">
        <f ca="1">IFERROR(__xludf.DUMMYFUNCTION("GOOGLETRANSLATE(D708)"),"English phrasal verbs - for Spanish Speakers")</f>
        <v>English phrasal verbs - for Spanish Speakers</v>
      </c>
      <c r="F708" s="36" t="s">
        <v>5912</v>
      </c>
      <c r="G708" s="45">
        <v>4.6385110000000003</v>
      </c>
      <c r="H708" s="45">
        <v>3.075555</v>
      </c>
      <c r="I708" s="36" t="s">
        <v>72</v>
      </c>
    </row>
    <row r="709" spans="1:9" ht="12.5">
      <c r="A709" s="47">
        <v>213072</v>
      </c>
      <c r="B709" s="36" t="s">
        <v>913</v>
      </c>
      <c r="C709" s="36" t="s">
        <v>914</v>
      </c>
      <c r="D709" s="36" t="s">
        <v>5932</v>
      </c>
      <c r="E709" s="48" t="str">
        <f ca="1">IFERROR(__xludf.DUMMYFUNCTION("GOOGLETRANSLATE(D709)"),"Learn English prepositions once and for all")</f>
        <v>Learn English prepositions once and for all</v>
      </c>
      <c r="F709" s="36" t="s">
        <v>5933</v>
      </c>
      <c r="G709" s="45">
        <v>4.5685330000000004</v>
      </c>
      <c r="H709" s="45">
        <v>1.1269439999999999</v>
      </c>
      <c r="I709" s="36" t="s">
        <v>21</v>
      </c>
    </row>
    <row r="710" spans="1:9" ht="12.5">
      <c r="A710" s="47">
        <v>555162</v>
      </c>
      <c r="B710" s="36" t="s">
        <v>913</v>
      </c>
      <c r="C710" s="36" t="s">
        <v>914</v>
      </c>
      <c r="D710" s="36" t="s">
        <v>5934</v>
      </c>
      <c r="E710" s="48" t="str">
        <f ca="1">IFERROR(__xludf.DUMMYFUNCTION("GOOGLETRANSLATE(D710)"),"Learn Chinese the first")</f>
        <v>Learn Chinese the first</v>
      </c>
      <c r="F710" s="36" t="s">
        <v>5935</v>
      </c>
      <c r="G710" s="45">
        <v>4.7536420000000001</v>
      </c>
      <c r="H710" s="45">
        <v>13.275</v>
      </c>
      <c r="I710" s="36" t="s">
        <v>21</v>
      </c>
    </row>
    <row r="711" spans="1:9" ht="12.5">
      <c r="A711" s="47">
        <v>1960908</v>
      </c>
      <c r="B711" s="36" t="s">
        <v>913</v>
      </c>
      <c r="C711" s="36" t="s">
        <v>914</v>
      </c>
      <c r="D711" s="36" t="s">
        <v>5936</v>
      </c>
      <c r="E711" s="48" t="str">
        <f ca="1">IFERROR(__xludf.DUMMYFUNCTION("GOOGLETRANSLATE(D711)"),"German Course for Beginners")</f>
        <v>German Course for Beginners</v>
      </c>
      <c r="F711" s="36" t="s">
        <v>955</v>
      </c>
      <c r="G711" s="45">
        <v>4.8889217</v>
      </c>
      <c r="H711" s="45">
        <v>15.356111</v>
      </c>
      <c r="I711" s="36" t="s">
        <v>21</v>
      </c>
    </row>
    <row r="712" spans="1:9" ht="12.5">
      <c r="A712" s="47">
        <v>189320</v>
      </c>
      <c r="B712" s="36" t="s">
        <v>913</v>
      </c>
      <c r="C712" s="36" t="s">
        <v>914</v>
      </c>
      <c r="D712" s="36" t="s">
        <v>5937</v>
      </c>
      <c r="E712" s="48" t="str">
        <f ca="1">IFERROR(__xludf.DUMMYFUNCTION("GOOGLETRANSLATE(D712)"),"25 common mistakes we all make in English")</f>
        <v>25 common mistakes we all make in English</v>
      </c>
      <c r="F712" s="36" t="s">
        <v>5933</v>
      </c>
      <c r="G712" s="45">
        <v>3.3652725000000001</v>
      </c>
      <c r="H712" s="45">
        <v>1.2708330000000001</v>
      </c>
      <c r="I712" s="36" t="s">
        <v>21</v>
      </c>
    </row>
    <row r="713" spans="1:9" ht="12.5">
      <c r="A713" s="47">
        <v>63211</v>
      </c>
      <c r="B713" s="36" t="s">
        <v>913</v>
      </c>
      <c r="C713" s="36" t="s">
        <v>914</v>
      </c>
      <c r="D713" s="36" t="s">
        <v>5938</v>
      </c>
      <c r="E713" s="48" t="str">
        <f ca="1">IFERROR(__xludf.DUMMYFUNCTION("GOOGLETRANSLATE(D713)"),"English useful for beginners 1: is beginning to talk")</f>
        <v>English useful for beginners 1: is beginning to talk</v>
      </c>
      <c r="F713" s="36" t="s">
        <v>5933</v>
      </c>
      <c r="G713" s="45">
        <v>4.5577139999999998</v>
      </c>
      <c r="H713" s="45">
        <v>0.54694399999999999</v>
      </c>
      <c r="I713" s="36" t="s">
        <v>21</v>
      </c>
    </row>
    <row r="714" spans="1:9" ht="12.5">
      <c r="A714" s="47">
        <v>632188</v>
      </c>
      <c r="B714" s="36" t="s">
        <v>913</v>
      </c>
      <c r="C714" s="36" t="s">
        <v>914</v>
      </c>
      <c r="D714" s="36" t="s">
        <v>5939</v>
      </c>
      <c r="E714" s="48" t="str">
        <f ca="1">IFERROR(__xludf.DUMMYFUNCTION("GOOGLETRANSLATE(D714)"),"Conditionals in English: The Definitive Guide")</f>
        <v>Conditionals in English: The Definitive Guide</v>
      </c>
      <c r="F714" s="36" t="s">
        <v>5912</v>
      </c>
      <c r="G714" s="45">
        <v>4.5114570000000001</v>
      </c>
      <c r="H714" s="45">
        <v>2.2280549999999999</v>
      </c>
      <c r="I714" s="36" t="s">
        <v>72</v>
      </c>
    </row>
    <row r="715" spans="1:9" ht="12.5">
      <c r="A715" s="47">
        <v>2219690</v>
      </c>
      <c r="B715" s="36" t="s">
        <v>913</v>
      </c>
      <c r="C715" s="36" t="s">
        <v>914</v>
      </c>
      <c r="D715" s="36" t="s">
        <v>5940</v>
      </c>
      <c r="E715" s="48" t="str">
        <f ca="1">IFERROR(__xludf.DUMMYFUNCTION("GOOGLETRANSLATE(D715)"),"Technical English for Accountants: Essential Vocabulary")</f>
        <v>Technical English for Accountants: Essential Vocabulary</v>
      </c>
      <c r="F715" s="36" t="s">
        <v>5941</v>
      </c>
      <c r="G715" s="45">
        <v>4.5424790000000002</v>
      </c>
      <c r="H715" s="45">
        <v>1.7444440000000001</v>
      </c>
      <c r="I715" s="36" t="s">
        <v>17</v>
      </c>
    </row>
    <row r="716" spans="1:9" ht="12.5">
      <c r="A716" s="47">
        <v>3388104</v>
      </c>
      <c r="B716" s="36" t="s">
        <v>913</v>
      </c>
      <c r="C716" s="36" t="s">
        <v>914</v>
      </c>
      <c r="D716" s="36" t="s">
        <v>5942</v>
      </c>
      <c r="E716" s="48" t="str">
        <f ca="1">IFERROR(__xludf.DUMMYFUNCTION("GOOGLETRANSLATE(D716)"),"English course for Hispanics - Level A2 / B1.1 guaranteed")</f>
        <v>English course for Hispanics - Level A2 / B1.1 guaranteed</v>
      </c>
      <c r="F716" s="36" t="s">
        <v>5943</v>
      </c>
      <c r="G716" s="45">
        <v>4.4570527000000002</v>
      </c>
      <c r="H716" s="45">
        <v>19.094443999999999</v>
      </c>
      <c r="I716" s="36" t="s">
        <v>72</v>
      </c>
    </row>
    <row r="717" spans="1:9" ht="12.5">
      <c r="A717" s="47">
        <v>2619876</v>
      </c>
      <c r="B717" s="36" t="s">
        <v>913</v>
      </c>
      <c r="C717" s="36" t="s">
        <v>914</v>
      </c>
      <c r="D717" s="36" t="s">
        <v>5944</v>
      </c>
      <c r="E717" s="48" t="str">
        <f ca="1">IFERROR(__xludf.DUMMYFUNCTION("GOOGLETRANSLATE(D717)"),"English course for Hispanics - Level A1 guaranteed")</f>
        <v>English course for Hispanics - Level A1 guaranteed</v>
      </c>
      <c r="F717" s="36" t="s">
        <v>5943</v>
      </c>
      <c r="G717" s="45">
        <v>4.4125174999999999</v>
      </c>
      <c r="H717" s="45">
        <v>17.581666999999999</v>
      </c>
      <c r="I717" s="36" t="s">
        <v>17</v>
      </c>
    </row>
    <row r="718" spans="1:9" ht="12.5">
      <c r="A718" s="47">
        <v>2954132</v>
      </c>
      <c r="B718" s="36" t="s">
        <v>913</v>
      </c>
      <c r="C718" s="36" t="s">
        <v>914</v>
      </c>
      <c r="D718" s="36" t="s">
        <v>5945</v>
      </c>
      <c r="E718" s="48" t="str">
        <f ca="1">IFERROR(__xludf.DUMMYFUNCTION("GOOGLETRANSLATE(D718)"),"English: Learn English High Intermediate Gradually I")</f>
        <v>English: Learn English High Intermediate Gradually I</v>
      </c>
      <c r="F718" s="36" t="s">
        <v>5946</v>
      </c>
      <c r="G718" s="45">
        <v>4.2960776999999997</v>
      </c>
      <c r="H718" s="45">
        <v>5.8536109999999999</v>
      </c>
      <c r="I718" s="36" t="s">
        <v>72</v>
      </c>
    </row>
    <row r="719" spans="1:9" ht="12.5">
      <c r="A719" s="47">
        <v>1722482</v>
      </c>
      <c r="B719" s="36" t="s">
        <v>913</v>
      </c>
      <c r="C719" s="36" t="s">
        <v>914</v>
      </c>
      <c r="D719" s="36" t="s">
        <v>5947</v>
      </c>
      <c r="E719" s="48" t="str">
        <f ca="1">IFERROR(__xludf.DUMMYFUNCTION("GOOGLETRANSLATE(D719)"),"Easy English pronunciation - for Spanish speakers")</f>
        <v>Easy English pronunciation - for Spanish speakers</v>
      </c>
      <c r="F719" s="36" t="s">
        <v>5912</v>
      </c>
      <c r="G719" s="45">
        <v>4.4925174999999999</v>
      </c>
      <c r="H719" s="45">
        <v>4.9850000000000003</v>
      </c>
      <c r="I719" s="36" t="s">
        <v>72</v>
      </c>
    </row>
    <row r="720" spans="1:9" ht="12.5">
      <c r="A720" s="47">
        <v>376318</v>
      </c>
      <c r="B720" s="36" t="s">
        <v>913</v>
      </c>
      <c r="C720" s="36" t="s">
        <v>914</v>
      </c>
      <c r="D720" s="36" t="s">
        <v>5948</v>
      </c>
      <c r="E720" s="48" t="str">
        <f ca="1">IFERROR(__xludf.DUMMYFUNCTION("GOOGLETRANSLATE(D720)"),"Learn French from scratch!")</f>
        <v>Learn French from scratch!</v>
      </c>
      <c r="F720" s="36" t="s">
        <v>5949</v>
      </c>
      <c r="G720" s="45">
        <v>4.7154392999999999</v>
      </c>
      <c r="H720" s="45">
        <v>2.4249999999999998</v>
      </c>
      <c r="I720" s="36" t="s">
        <v>17</v>
      </c>
    </row>
    <row r="721" spans="1:9" ht="12.5">
      <c r="A721" s="47">
        <v>1701594</v>
      </c>
      <c r="B721" s="36" t="s">
        <v>913</v>
      </c>
      <c r="C721" s="36" t="s">
        <v>914</v>
      </c>
      <c r="D721" s="36" t="s">
        <v>5950</v>
      </c>
      <c r="E721" s="48" t="str">
        <f ca="1">IFERROR(__xludf.DUMMYFUNCTION("GOOGLETRANSLATE(D721)"),"Spelling workshop: ""Improve your spelling and""")</f>
        <v>Spelling workshop: "Improve your spelling and"</v>
      </c>
      <c r="F721" s="36" t="s">
        <v>5951</v>
      </c>
      <c r="G721" s="45">
        <v>4.9230409999999996</v>
      </c>
      <c r="H721" s="45">
        <v>3.13</v>
      </c>
      <c r="I721" s="36" t="s">
        <v>17</v>
      </c>
    </row>
    <row r="722" spans="1:9" ht="12.5">
      <c r="A722" s="47">
        <v>2116096</v>
      </c>
      <c r="B722" s="36" t="s">
        <v>913</v>
      </c>
      <c r="C722" s="36" t="s">
        <v>914</v>
      </c>
      <c r="D722" s="36" t="s">
        <v>5952</v>
      </c>
      <c r="E722" s="48" t="str">
        <f ca="1">IFERROR(__xludf.DUMMYFUNCTION("GOOGLETRANSLATE(D722)"),"Japanese for beginners. The complete method. Level 1")</f>
        <v>Japanese for beginners. The complete method. Level 1</v>
      </c>
      <c r="F722" s="36" t="s">
        <v>5953</v>
      </c>
      <c r="G722" s="45">
        <v>4.6514481999999999</v>
      </c>
      <c r="H722" s="45">
        <v>15.616388000000001</v>
      </c>
      <c r="I722" s="36" t="s">
        <v>17</v>
      </c>
    </row>
    <row r="723" spans="1:9" ht="12.5">
      <c r="A723" s="47">
        <v>1954876</v>
      </c>
      <c r="B723" s="36" t="s">
        <v>913</v>
      </c>
      <c r="C723" s="36" t="s">
        <v>914</v>
      </c>
      <c r="D723" s="36" t="s">
        <v>5954</v>
      </c>
      <c r="E723" s="48" t="str">
        <f ca="1">IFERROR(__xludf.DUMMYFUNCTION("GOOGLETRANSLATE(D723)"),"Japanese Course - Module 1")</f>
        <v>Japanese Course - Module 1</v>
      </c>
      <c r="F723" s="36" t="s">
        <v>5955</v>
      </c>
      <c r="G723" s="45">
        <v>4.4575477000000001</v>
      </c>
      <c r="H723" s="45">
        <v>15.601388</v>
      </c>
      <c r="I723" s="36" t="s">
        <v>17</v>
      </c>
    </row>
    <row r="724" spans="1:9" ht="12.5">
      <c r="A724" s="47">
        <v>2335778</v>
      </c>
      <c r="B724" s="36" t="s">
        <v>913</v>
      </c>
      <c r="C724" s="36" t="s">
        <v>914</v>
      </c>
      <c r="D724" s="36" t="s">
        <v>5956</v>
      </c>
      <c r="E724" s="48" t="str">
        <f ca="1">IFERROR(__xludf.DUMMYFUNCTION("GOOGLETRANSLATE(D724)"),"Course German 2 | The Easy Way to Learn German")</f>
        <v>Course German 2 | The Easy Way to Learn German</v>
      </c>
      <c r="F724" s="36" t="s">
        <v>5930</v>
      </c>
      <c r="G724" s="45">
        <v>4.668285</v>
      </c>
      <c r="H724" s="45">
        <v>7.279166</v>
      </c>
      <c r="I724" s="36" t="s">
        <v>72</v>
      </c>
    </row>
    <row r="725" spans="1:9" ht="12.5">
      <c r="A725" s="47">
        <v>171812</v>
      </c>
      <c r="B725" s="36" t="s">
        <v>913</v>
      </c>
      <c r="C725" s="36" t="s">
        <v>914</v>
      </c>
      <c r="D725" s="36" t="s">
        <v>5957</v>
      </c>
      <c r="E725" s="48" t="str">
        <f ca="1">IFERROR(__xludf.DUMMYFUNCTION("GOOGLETRANSLATE(D725)"),"Introduction to Chinese Language: Mandarin Chinese Basic Course.")</f>
        <v>Introduction to Chinese Language: Mandarin Chinese Basic Course.</v>
      </c>
      <c r="F725" s="36" t="s">
        <v>5958</v>
      </c>
      <c r="G725" s="45">
        <v>4.5589174999999997</v>
      </c>
      <c r="H725" s="45">
        <v>2.5730550000000001</v>
      </c>
      <c r="I725" s="36" t="s">
        <v>17</v>
      </c>
    </row>
    <row r="726" spans="1:9" ht="12.5">
      <c r="A726" s="47">
        <v>2086590</v>
      </c>
      <c r="B726" s="36" t="s">
        <v>913</v>
      </c>
      <c r="C726" s="36" t="s">
        <v>920</v>
      </c>
      <c r="D726" s="36" t="s">
        <v>5959</v>
      </c>
      <c r="E726" s="48" t="str">
        <f ca="1">IFERROR(__xludf.DUMMYFUNCTION("GOOGLETRANSLATE(D726)"),"Super Brain: Speed ​​Reading, Reading and Super Photo Reading.")</f>
        <v>Super Brain: Speed ​​Reading, Reading and Super Photo Reading.</v>
      </c>
      <c r="F726" s="36" t="s">
        <v>5701</v>
      </c>
      <c r="G726" s="45">
        <v>4.4872589999999999</v>
      </c>
      <c r="H726" s="45">
        <v>12.239444000000001</v>
      </c>
      <c r="I726" s="36" t="s">
        <v>21</v>
      </c>
    </row>
    <row r="727" spans="1:9" ht="12.5">
      <c r="A727" s="47">
        <v>466018</v>
      </c>
      <c r="B727" s="36" t="s">
        <v>913</v>
      </c>
      <c r="C727" s="36" t="s">
        <v>920</v>
      </c>
      <c r="D727" s="36" t="s">
        <v>5960</v>
      </c>
      <c r="E727" s="48" t="str">
        <f ca="1">IFERROR(__xludf.DUMMYFUNCTION("GOOGLETRANSLATE(D727)"),"4 Keys to prioritize tasks and act - FAST Method")</f>
        <v>4 Keys to prioritize tasks and act - FAST Method</v>
      </c>
      <c r="F727" s="36" t="s">
        <v>5961</v>
      </c>
      <c r="G727" s="45">
        <v>4.3639380000000001</v>
      </c>
      <c r="H727" s="45">
        <v>2.2038880000000001</v>
      </c>
      <c r="I727" s="36" t="s">
        <v>21</v>
      </c>
    </row>
    <row r="728" spans="1:9" ht="12.5">
      <c r="A728" s="47">
        <v>2005610</v>
      </c>
      <c r="B728" s="36" t="s">
        <v>913</v>
      </c>
      <c r="C728" s="36" t="s">
        <v>920</v>
      </c>
      <c r="D728" s="36" t="s">
        <v>5962</v>
      </c>
      <c r="E728" s="48" t="str">
        <f ca="1">IFERROR(__xludf.DUMMYFUNCTION("GOOGLETRANSLATE(D728)"),"Trading Method U. Harvard and principles of NLP")</f>
        <v>Trading Method U. Harvard and principles of NLP</v>
      </c>
      <c r="F728" s="36" t="s">
        <v>5963</v>
      </c>
      <c r="G728" s="45">
        <v>4.2257705000000003</v>
      </c>
      <c r="H728" s="45">
        <v>5.9097220000000004</v>
      </c>
      <c r="I728" s="36" t="s">
        <v>21</v>
      </c>
    </row>
    <row r="729" spans="1:9" ht="12.5">
      <c r="A729" s="47">
        <v>716210</v>
      </c>
      <c r="B729" s="36" t="s">
        <v>913</v>
      </c>
      <c r="C729" s="36" t="s">
        <v>920</v>
      </c>
      <c r="D729" s="36" t="s">
        <v>5964</v>
      </c>
      <c r="E729" s="48" t="str">
        <f ca="1">IFERROR(__xludf.DUMMYFUNCTION("GOOGLETRANSLATE(D729)"),"Productivity and Time Management")</f>
        <v>Productivity and Time Management</v>
      </c>
      <c r="F729" s="36" t="s">
        <v>5965</v>
      </c>
      <c r="G729" s="45">
        <v>4.1737355999999997</v>
      </c>
      <c r="H729" s="45">
        <v>1.4655549999999999</v>
      </c>
      <c r="I729" s="36" t="s">
        <v>21</v>
      </c>
    </row>
    <row r="730" spans="1:9" ht="12.5">
      <c r="A730" s="47">
        <v>1106266</v>
      </c>
      <c r="B730" s="36" t="s">
        <v>913</v>
      </c>
      <c r="C730" s="36" t="s">
        <v>920</v>
      </c>
      <c r="D730" s="36" t="s">
        <v>5966</v>
      </c>
      <c r="E730" s="48" t="str">
        <f ca="1">IFERROR(__xludf.DUMMYFUNCTION("GOOGLETRANSLATE(D730)"),"Certified NLP for beginners and advanced")</f>
        <v>Certified NLP for beginners and advanced</v>
      </c>
      <c r="F730" s="36" t="s">
        <v>5691</v>
      </c>
      <c r="G730" s="45">
        <v>4.5188689999999996</v>
      </c>
      <c r="H730" s="45">
        <v>9.9094440000000006</v>
      </c>
      <c r="I730" s="36" t="s">
        <v>21</v>
      </c>
    </row>
    <row r="731" spans="1:9" ht="12.5">
      <c r="A731" s="47">
        <v>2360128</v>
      </c>
      <c r="B731" s="36" t="s">
        <v>913</v>
      </c>
      <c r="C731" s="36" t="s">
        <v>920</v>
      </c>
      <c r="D731" s="36" t="s">
        <v>5967</v>
      </c>
      <c r="E731" s="48" t="str">
        <f ca="1">IFERROR(__xludf.DUMMYFUNCTION("GOOGLETRANSLATE(D731)"),"Destroy Procrastination!")</f>
        <v>Destroy Procrastination!</v>
      </c>
      <c r="F731" s="36" t="s">
        <v>5709</v>
      </c>
      <c r="G731" s="45">
        <v>4.6704216000000001</v>
      </c>
      <c r="H731" s="45">
        <v>5.983333</v>
      </c>
      <c r="I731" s="36" t="s">
        <v>21</v>
      </c>
    </row>
    <row r="732" spans="1:9" ht="12.5">
      <c r="A732" s="47">
        <v>1803250</v>
      </c>
      <c r="B732" s="36" t="s">
        <v>913</v>
      </c>
      <c r="C732" s="36" t="s">
        <v>920</v>
      </c>
      <c r="D732" s="36" t="s">
        <v>5968</v>
      </c>
      <c r="E732" s="48" t="str">
        <f ca="1">IFERROR(__xludf.DUMMYFUNCTION("GOOGLETRANSLATE(D732)"),"Esteem and managing emotions. Create your own self-image.")</f>
        <v>Esteem and managing emotions. Create your own self-image.</v>
      </c>
      <c r="F732" s="36" t="s">
        <v>5735</v>
      </c>
      <c r="G732" s="45">
        <v>4.6654705999999999</v>
      </c>
      <c r="H732" s="45">
        <v>2.7625000000000002</v>
      </c>
      <c r="I732" s="36" t="s">
        <v>21</v>
      </c>
    </row>
    <row r="733" spans="1:9" ht="12.5">
      <c r="A733" s="47">
        <v>1354966</v>
      </c>
      <c r="B733" s="36" t="s">
        <v>913</v>
      </c>
      <c r="C733" s="36" t="s">
        <v>920</v>
      </c>
      <c r="D733" s="36" t="s">
        <v>5969</v>
      </c>
      <c r="E733" s="48" t="str">
        <f ca="1">IFERROR(__xludf.DUMMYFUNCTION("GOOGLETRANSLATE(D733)"),"Certification cognitive behavioral therapy")</f>
        <v>Certification cognitive behavioral therapy</v>
      </c>
      <c r="F733" s="36" t="s">
        <v>5691</v>
      </c>
      <c r="G733" s="45">
        <v>4.4537816000000001</v>
      </c>
      <c r="H733" s="45">
        <v>16.140833000000001</v>
      </c>
      <c r="I733" s="36" t="s">
        <v>21</v>
      </c>
    </row>
    <row r="734" spans="1:9" ht="12.5">
      <c r="A734" s="47">
        <v>749300</v>
      </c>
      <c r="B734" s="36" t="s">
        <v>913</v>
      </c>
      <c r="C734" s="36" t="s">
        <v>920</v>
      </c>
      <c r="D734" s="36" t="s">
        <v>5970</v>
      </c>
      <c r="E734" s="48" t="str">
        <f ca="1">IFERROR(__xludf.DUMMYFUNCTION("GOOGLETRANSLATE(D734)"),"Decide and Prioritization: The key to success")</f>
        <v>Decide and Prioritization: The key to success</v>
      </c>
      <c r="F734" s="36" t="s">
        <v>5965</v>
      </c>
      <c r="G734" s="45">
        <v>4.6025944000000001</v>
      </c>
      <c r="H734" s="45">
        <v>1.2175</v>
      </c>
      <c r="I734" s="36" t="s">
        <v>21</v>
      </c>
    </row>
    <row r="735" spans="1:9" ht="12.5">
      <c r="A735" s="47">
        <v>1044864</v>
      </c>
      <c r="B735" s="36" t="s">
        <v>913</v>
      </c>
      <c r="C735" s="36" t="s">
        <v>920</v>
      </c>
      <c r="D735" s="36" t="s">
        <v>5971</v>
      </c>
      <c r="E735" s="48" t="str">
        <f ca="1">IFERROR(__xludf.DUMMYFUNCTION("GOOGLETRANSLATE(D735)"),"Indestructible confidence in 30 days")</f>
        <v>Indestructible confidence in 30 days</v>
      </c>
      <c r="F735" s="36" t="s">
        <v>5691</v>
      </c>
      <c r="G735" s="45">
        <v>4.5426105999999997</v>
      </c>
      <c r="H735" s="45">
        <v>8.6188880000000001</v>
      </c>
      <c r="I735" s="36" t="s">
        <v>21</v>
      </c>
    </row>
    <row r="736" spans="1:9" ht="12.5">
      <c r="A736" s="47">
        <v>2336752</v>
      </c>
      <c r="B736" s="36" t="s">
        <v>913</v>
      </c>
      <c r="C736" s="36" t="s">
        <v>920</v>
      </c>
      <c r="D736" s="36" t="s">
        <v>5972</v>
      </c>
      <c r="E736" s="48" t="str">
        <f ca="1">IFERROR(__xludf.DUMMYFUNCTION("GOOGLETRANSLATE(D736)"),"Super Memory: How to Develop a Powerful Mind.")</f>
        <v>Super Memory: How to Develop a Powerful Mind.</v>
      </c>
      <c r="F736" s="36" t="s">
        <v>5701</v>
      </c>
      <c r="G736" s="45">
        <v>4.5033254999999999</v>
      </c>
      <c r="H736" s="45">
        <v>5.63</v>
      </c>
      <c r="I736" s="36" t="s">
        <v>21</v>
      </c>
    </row>
    <row r="737" spans="1:9" ht="12.5">
      <c r="A737" s="47">
        <v>1762614</v>
      </c>
      <c r="B737" s="36" t="s">
        <v>913</v>
      </c>
      <c r="C737" s="36" t="s">
        <v>920</v>
      </c>
      <c r="D737" s="36" t="s">
        <v>5973</v>
      </c>
      <c r="E737" s="48" t="str">
        <f ca="1">IFERROR(__xludf.DUMMYFUNCTION("GOOGLETRANSLATE(D737)"),"Personal Productivity: Efficiency and High Performance")</f>
        <v>Personal Productivity: Efficiency and High Performance</v>
      </c>
      <c r="F737" s="36" t="s">
        <v>5735</v>
      </c>
      <c r="G737" s="45">
        <v>4.6766604999999997</v>
      </c>
      <c r="H737" s="45">
        <v>3.3824999999999998</v>
      </c>
      <c r="I737" s="36" t="s">
        <v>21</v>
      </c>
    </row>
    <row r="738" spans="1:9" ht="12.5">
      <c r="A738" s="47">
        <v>675750</v>
      </c>
      <c r="B738" s="36" t="s">
        <v>913</v>
      </c>
      <c r="C738" s="36" t="s">
        <v>920</v>
      </c>
      <c r="D738" s="36" t="s">
        <v>5974</v>
      </c>
      <c r="E738" s="48" t="str">
        <f ca="1">IFERROR(__xludf.DUMMYFUNCTION("GOOGLETRANSLATE(D738)"),"How to overcome your shyness and express without fear")</f>
        <v>How to overcome your shyness and express without fear</v>
      </c>
      <c r="F738" s="36" t="s">
        <v>5975</v>
      </c>
      <c r="G738" s="45">
        <v>4.4467835000000004</v>
      </c>
      <c r="H738" s="45">
        <v>2.1983329999999999</v>
      </c>
      <c r="I738" s="36" t="s">
        <v>21</v>
      </c>
    </row>
    <row r="739" spans="1:9" ht="12.5">
      <c r="A739" s="47">
        <v>2063809</v>
      </c>
      <c r="B739" s="36" t="s">
        <v>913</v>
      </c>
      <c r="C739" s="36" t="s">
        <v>920</v>
      </c>
      <c r="D739" s="36" t="s">
        <v>5976</v>
      </c>
      <c r="E739" s="48" t="str">
        <f ca="1">IFERROR(__xludf.DUMMYFUNCTION("GOOGLETRANSLATE(D739)"),"Personal productivity. Earn more time, more Feliz. 2020.")</f>
        <v>Personal productivity. Earn more time, more Feliz. 2020.</v>
      </c>
      <c r="F739" s="36" t="s">
        <v>4949</v>
      </c>
      <c r="G739" s="45">
        <v>4.3001676</v>
      </c>
      <c r="H739" s="45">
        <v>2.8250000000000002</v>
      </c>
      <c r="I739" s="36" t="s">
        <v>259</v>
      </c>
    </row>
    <row r="740" spans="1:9" ht="12.5">
      <c r="A740" s="47">
        <v>923610</v>
      </c>
      <c r="B740" s="36" t="s">
        <v>913</v>
      </c>
      <c r="C740" s="36" t="s">
        <v>920</v>
      </c>
      <c r="D740" s="36" t="s">
        <v>5977</v>
      </c>
      <c r="E740" s="48" t="str">
        <f ca="1">IFERROR(__xludf.DUMMYFUNCTION("GOOGLETRANSLATE(D740)"),"Winning job interview")</f>
        <v>Winning job interview</v>
      </c>
      <c r="F740" s="36" t="s">
        <v>5978</v>
      </c>
      <c r="G740" s="45">
        <v>4.6919765</v>
      </c>
      <c r="H740" s="45">
        <v>2.440277</v>
      </c>
      <c r="I740" s="36" t="s">
        <v>17</v>
      </c>
    </row>
    <row r="741" spans="1:9" ht="12.5">
      <c r="A741" s="47">
        <v>1266524</v>
      </c>
      <c r="B741" s="36" t="s">
        <v>913</v>
      </c>
      <c r="C741" s="36" t="s">
        <v>920</v>
      </c>
      <c r="D741" s="36" t="s">
        <v>5979</v>
      </c>
      <c r="E741" s="48" t="str">
        <f ca="1">IFERROR(__xludf.DUMMYFUNCTION("GOOGLETRANSLATE(D741)"),"workshop to take time with the CLAM method")</f>
        <v>workshop to take time with the CLAM method</v>
      </c>
      <c r="F741" s="36" t="s">
        <v>5980</v>
      </c>
      <c r="G741" s="45">
        <v>4.1788800000000004</v>
      </c>
      <c r="H741" s="45">
        <v>1.910833</v>
      </c>
      <c r="I741" s="36" t="s">
        <v>21</v>
      </c>
    </row>
    <row r="742" spans="1:9" ht="12.5">
      <c r="A742" s="47">
        <v>1100428</v>
      </c>
      <c r="B742" s="36" t="s">
        <v>913</v>
      </c>
      <c r="C742" s="36" t="s">
        <v>920</v>
      </c>
      <c r="D742" s="36" t="s">
        <v>5981</v>
      </c>
      <c r="E742" s="48" t="str">
        <f ca="1">IFERROR(__xludf.DUMMYFUNCTION("GOOGLETRANSLATE(D742)"),"Financial Intelligence and Personal Growth")</f>
        <v>Financial Intelligence and Personal Growth</v>
      </c>
      <c r="F742" s="36" t="s">
        <v>5982</v>
      </c>
      <c r="G742" s="45">
        <v>4.4007379999999996</v>
      </c>
      <c r="H742" s="45">
        <v>1.568333</v>
      </c>
      <c r="I742" s="36" t="s">
        <v>17</v>
      </c>
    </row>
    <row r="743" spans="1:9" ht="12.5">
      <c r="A743" s="47">
        <v>1500502</v>
      </c>
      <c r="B743" s="36" t="s">
        <v>913</v>
      </c>
      <c r="C743" s="36" t="s">
        <v>920</v>
      </c>
      <c r="D743" s="36" t="s">
        <v>5983</v>
      </c>
      <c r="E743" s="48" t="str">
        <f ca="1">IFERROR(__xludf.DUMMYFUNCTION("GOOGLETRANSLATE(D743)"),"How to Find and Remove Blockages mental and emotional")</f>
        <v>How to Find and Remove Blockages mental and emotional</v>
      </c>
      <c r="F743" s="36" t="s">
        <v>5984</v>
      </c>
      <c r="G743" s="45">
        <v>4.5452285000000003</v>
      </c>
      <c r="H743" s="45">
        <v>6.4238879999999998</v>
      </c>
      <c r="I743" s="36" t="s">
        <v>72</v>
      </c>
    </row>
    <row r="744" spans="1:9" ht="12.5">
      <c r="A744" s="47">
        <v>3516466</v>
      </c>
      <c r="B744" s="36" t="s">
        <v>913</v>
      </c>
      <c r="C744" s="36" t="s">
        <v>920</v>
      </c>
      <c r="D744" s="36" t="s">
        <v>5985</v>
      </c>
      <c r="E744" s="48" t="str">
        <f ca="1">IFERROR(__xludf.DUMMYFUNCTION("GOOGLETRANSLATE(D744)"),"Body Language in Business - Training Final")</f>
        <v>Body Language in Business - Training Final</v>
      </c>
      <c r="F744" s="36" t="s">
        <v>5118</v>
      </c>
      <c r="G744" s="45">
        <v>4.7653600000000003</v>
      </c>
      <c r="H744" s="45">
        <v>3.3516659999999998</v>
      </c>
      <c r="I744" s="36" t="s">
        <v>21</v>
      </c>
    </row>
    <row r="745" spans="1:9" ht="12.5">
      <c r="A745" s="47">
        <v>2025748</v>
      </c>
      <c r="B745" s="36" t="s">
        <v>913</v>
      </c>
      <c r="C745" s="36" t="s">
        <v>920</v>
      </c>
      <c r="D745" s="36" t="s">
        <v>5986</v>
      </c>
      <c r="E745" s="48" t="str">
        <f ca="1">IFERROR(__xludf.DUMMYFUNCTION("GOOGLETRANSLATE(D745)"),"Strategic goals. Your Advanced Goal Setting Guide")</f>
        <v>Strategic goals. Your Advanced Goal Setting Guide</v>
      </c>
      <c r="F745" s="36" t="s">
        <v>5735</v>
      </c>
      <c r="G745" s="45">
        <v>4.5586348000000001</v>
      </c>
      <c r="H745" s="45">
        <v>3.7041659999999998</v>
      </c>
      <c r="I745" s="36" t="s">
        <v>21</v>
      </c>
    </row>
    <row r="746" spans="1:9" ht="12.5">
      <c r="A746" s="47">
        <v>1266900</v>
      </c>
      <c r="B746" s="36" t="s">
        <v>913</v>
      </c>
      <c r="C746" s="36" t="s">
        <v>920</v>
      </c>
      <c r="D746" s="36" t="s">
        <v>5987</v>
      </c>
      <c r="E746" s="48" t="str">
        <f ca="1">IFERROR(__xludf.DUMMYFUNCTION("GOOGLETRANSLATE(D746)"),"Certified NLP Master Practitioner (Expert)")</f>
        <v>Certified NLP Master Practitioner (Expert)</v>
      </c>
      <c r="F746" s="36" t="s">
        <v>5691</v>
      </c>
      <c r="G746" s="45">
        <v>4.5528230000000001</v>
      </c>
      <c r="H746" s="45">
        <v>12.528333</v>
      </c>
      <c r="I746" s="36" t="s">
        <v>259</v>
      </c>
    </row>
    <row r="747" spans="1:9" ht="12.5">
      <c r="A747" s="47">
        <v>1688658</v>
      </c>
      <c r="B747" s="36" t="s">
        <v>913</v>
      </c>
      <c r="C747" s="36" t="s">
        <v>920</v>
      </c>
      <c r="D747" s="36" t="s">
        <v>5988</v>
      </c>
      <c r="E747" s="48" t="str">
        <f ca="1">IFERROR(__xludf.DUMMYFUNCTION("GOOGLETRANSLATE(D747)"),"Catalyst: Managing change and transformation")</f>
        <v>Catalyst: Managing change and transformation</v>
      </c>
      <c r="F747" s="36" t="s">
        <v>5989</v>
      </c>
      <c r="G747" s="45">
        <v>4.4796370000000003</v>
      </c>
      <c r="H747" s="45">
        <v>2.3219439999999998</v>
      </c>
      <c r="I747" s="36" t="s">
        <v>21</v>
      </c>
    </row>
    <row r="748" spans="1:9" ht="12.5">
      <c r="A748" s="47">
        <v>2624938</v>
      </c>
      <c r="B748" s="36" t="s">
        <v>913</v>
      </c>
      <c r="C748" s="36" t="s">
        <v>920</v>
      </c>
      <c r="D748" s="36" t="s">
        <v>5990</v>
      </c>
      <c r="E748" s="48" t="str">
        <f ca="1">IFERROR(__xludf.DUMMYFUNCTION("GOOGLETRANSLATE(D748)"),"Photo Reading - Speed ​​Reading speed limit.")</f>
        <v>Photo Reading - Speed ​​Reading speed limit.</v>
      </c>
      <c r="F748" s="36" t="s">
        <v>5701</v>
      </c>
      <c r="G748" s="45">
        <v>4.2713732999999996</v>
      </c>
      <c r="H748" s="45">
        <v>5.6469440000000004</v>
      </c>
      <c r="I748" s="36" t="s">
        <v>259</v>
      </c>
    </row>
    <row r="749" spans="1:9" ht="12.5">
      <c r="A749" s="47">
        <v>3118186</v>
      </c>
      <c r="B749" s="36" t="s">
        <v>913</v>
      </c>
      <c r="C749" s="36" t="s">
        <v>920</v>
      </c>
      <c r="D749" s="36" t="s">
        <v>5991</v>
      </c>
      <c r="E749" s="48" t="str">
        <f ca="1">IFERROR(__xludf.DUMMYFUNCTION("GOOGLETRANSLATE(D749)"),"Learn math from scratch - Arithmetic")</f>
        <v>Learn math from scratch - Arithmetic</v>
      </c>
      <c r="F749" s="36" t="s">
        <v>4943</v>
      </c>
      <c r="G749" s="45">
        <v>4.7441382000000001</v>
      </c>
      <c r="H749" s="45">
        <v>33.399166000000001</v>
      </c>
      <c r="I749" s="36" t="s">
        <v>17</v>
      </c>
    </row>
    <row r="750" spans="1:9" ht="12.5">
      <c r="A750" s="47">
        <v>27464</v>
      </c>
      <c r="B750" s="36" t="s">
        <v>913</v>
      </c>
      <c r="C750" s="36" t="s">
        <v>920</v>
      </c>
      <c r="D750" s="36" t="s">
        <v>5992</v>
      </c>
      <c r="E750" s="48" t="str">
        <f ca="1">IFERROR(__xludf.DUMMYFUNCTION("GOOGLETRANSLATE(D750)"),"Design your personal brand strategy step by step")</f>
        <v>Design your personal brand strategy step by step</v>
      </c>
      <c r="F750" s="36" t="s">
        <v>5993</v>
      </c>
      <c r="G750" s="45">
        <v>4.5384115999999999</v>
      </c>
      <c r="H750" s="45">
        <v>8.4333329999999993</v>
      </c>
      <c r="I750" s="36" t="s">
        <v>21</v>
      </c>
    </row>
    <row r="751" spans="1:9" ht="12.5">
      <c r="A751" s="47">
        <v>2294123</v>
      </c>
      <c r="B751" s="36" t="s">
        <v>913</v>
      </c>
      <c r="C751" s="36" t="s">
        <v>920</v>
      </c>
      <c r="D751" s="36" t="s">
        <v>5994</v>
      </c>
      <c r="E751" s="48" t="str">
        <f ca="1">IFERROR(__xludf.DUMMYFUNCTION("GOOGLETRANSLATE(D751)"),"Transcend: The Neuroscience of Your Potential ™")</f>
        <v>Transcend: The Neuroscience of Your Potential ™</v>
      </c>
      <c r="F751" s="36" t="s">
        <v>5995</v>
      </c>
      <c r="G751" s="45">
        <v>4.4823884999999999</v>
      </c>
      <c r="H751" s="45">
        <v>2.9958330000000002</v>
      </c>
      <c r="I751" s="36" t="s">
        <v>21</v>
      </c>
    </row>
    <row r="752" spans="1:9" ht="12.5">
      <c r="A752" s="47">
        <v>1504354</v>
      </c>
      <c r="B752" s="36" t="s">
        <v>913</v>
      </c>
      <c r="C752" s="36" t="s">
        <v>920</v>
      </c>
      <c r="D752" s="36" t="s">
        <v>5996</v>
      </c>
      <c r="E752" s="48" t="str">
        <f ca="1">IFERROR(__xludf.DUMMYFUNCTION("GOOGLETRANSLATE(D752)"),"Study techniques. Multiply your motivation to study.")</f>
        <v>Study techniques. Multiply your motivation to study.</v>
      </c>
      <c r="F752" s="36" t="s">
        <v>5997</v>
      </c>
      <c r="G752" s="45">
        <v>4.8726440000000002</v>
      </c>
      <c r="H752" s="45">
        <v>1.449722</v>
      </c>
      <c r="I752" s="36" t="s">
        <v>21</v>
      </c>
    </row>
    <row r="753" spans="1:9" ht="12.5">
      <c r="A753" s="47">
        <v>552984</v>
      </c>
      <c r="B753" s="36" t="s">
        <v>913</v>
      </c>
      <c r="C753" s="36" t="s">
        <v>920</v>
      </c>
      <c r="D753" s="36" t="s">
        <v>5998</v>
      </c>
      <c r="E753" s="48" t="str">
        <f ca="1">IFERROR(__xludf.DUMMYFUNCTION("GOOGLETRANSLATE(D753)"),"SPSS statistical analysis was expert (basic-intermediate)")</f>
        <v>SPSS statistical analysis was expert (basic-intermediate)</v>
      </c>
      <c r="F753" s="36" t="s">
        <v>5999</v>
      </c>
      <c r="G753" s="45">
        <v>4.1793832999999996</v>
      </c>
      <c r="H753" s="45">
        <v>4.7736109999999998</v>
      </c>
      <c r="I753" s="36" t="s">
        <v>21</v>
      </c>
    </row>
    <row r="754" spans="1:9" ht="12.5">
      <c r="A754" s="47">
        <v>469256</v>
      </c>
      <c r="B754" s="36" t="s">
        <v>913</v>
      </c>
      <c r="C754" s="36" t="s">
        <v>920</v>
      </c>
      <c r="D754" s="36" t="s">
        <v>6000</v>
      </c>
      <c r="E754" s="48" t="str">
        <f ca="1">IFERROR(__xludf.DUMMYFUNCTION("GOOGLETRANSLATE(D754)"),"Study Skills and Learning")</f>
        <v>Study Skills and Learning</v>
      </c>
      <c r="F754" s="36" t="s">
        <v>6001</v>
      </c>
      <c r="G754" s="45">
        <v>4.5970506999999996</v>
      </c>
      <c r="H754" s="45">
        <v>3.193333</v>
      </c>
      <c r="I754" s="36" t="s">
        <v>72</v>
      </c>
    </row>
    <row r="755" spans="1:9" ht="12.5">
      <c r="A755" s="47">
        <v>1998310</v>
      </c>
      <c r="B755" s="36" t="s">
        <v>913</v>
      </c>
      <c r="C755" s="36" t="s">
        <v>920</v>
      </c>
      <c r="D755" s="36" t="s">
        <v>6002</v>
      </c>
      <c r="E755" s="48" t="str">
        <f ca="1">IFERROR(__xludf.DUMMYFUNCTION("GOOGLETRANSLATE(D755)"),"Emotional Intelligence in Personal and Labor Relations")</f>
        <v>Emotional Intelligence in Personal and Labor Relations</v>
      </c>
      <c r="F755" s="36" t="s">
        <v>5701</v>
      </c>
      <c r="G755" s="45">
        <v>4.4568453000000003</v>
      </c>
      <c r="H755" s="45">
        <v>1.6127769999999999</v>
      </c>
      <c r="I755" s="36" t="s">
        <v>21</v>
      </c>
    </row>
    <row r="756" spans="1:9" ht="12.5">
      <c r="A756" s="47">
        <v>1251176</v>
      </c>
      <c r="B756" s="36" t="s">
        <v>913</v>
      </c>
      <c r="C756" s="36" t="s">
        <v>935</v>
      </c>
      <c r="D756" s="36" t="s">
        <v>6003</v>
      </c>
      <c r="E756" s="48" t="str">
        <f ca="1">IFERROR(__xludf.DUMMYFUNCTION("GOOGLETRANSLATE(D756)"),"Mindfulness Certificate Course (Level I II III &amp; Master)")</f>
        <v>Mindfulness Certificate Course (Level I II III &amp; Master)</v>
      </c>
      <c r="F756" s="36" t="s">
        <v>5691</v>
      </c>
      <c r="G756" s="45">
        <v>4.5101085000000003</v>
      </c>
      <c r="H756" s="45">
        <v>15.694444000000001</v>
      </c>
      <c r="I756" s="36" t="s">
        <v>21</v>
      </c>
    </row>
    <row r="757" spans="1:9" ht="12.5">
      <c r="A757" s="47">
        <v>1354956</v>
      </c>
      <c r="B757" s="36" t="s">
        <v>913</v>
      </c>
      <c r="C757" s="36" t="s">
        <v>935</v>
      </c>
      <c r="D757" s="36" t="s">
        <v>6004</v>
      </c>
      <c r="E757" s="48" t="str">
        <f ca="1">IFERROR(__xludf.DUMMYFUNCTION("GOOGLETRANSLATE(D757)"),"Eliminates negative stress in your life")</f>
        <v>Eliminates negative stress in your life</v>
      </c>
      <c r="F757" s="36" t="s">
        <v>5691</v>
      </c>
      <c r="G757" s="45">
        <v>4.8131060000000003</v>
      </c>
      <c r="H757" s="45">
        <v>6.2808330000000003</v>
      </c>
      <c r="I757" s="36" t="s">
        <v>21</v>
      </c>
    </row>
    <row r="758" spans="1:9" ht="12.5">
      <c r="A758" s="47">
        <v>338822</v>
      </c>
      <c r="B758" s="36" t="s">
        <v>1034</v>
      </c>
      <c r="C758" s="36" t="s">
        <v>1035</v>
      </c>
      <c r="D758" s="36" t="s">
        <v>6005</v>
      </c>
      <c r="E758" s="48" t="str">
        <f ca="1">IFERROR(__xludf.DUMMYFUNCTION("GOOGLETRANSLATE(D758)"),"Principles to understand and apply Agile, Scrum, Kanban and XP")</f>
        <v>Principles to understand and apply Agile, Scrum, Kanban and XP</v>
      </c>
      <c r="F758" s="36" t="s">
        <v>6006</v>
      </c>
      <c r="G758" s="45">
        <v>4.2116569999999998</v>
      </c>
      <c r="H758" s="45">
        <v>0.95777699999999999</v>
      </c>
      <c r="I758" s="36" t="s">
        <v>21</v>
      </c>
    </row>
    <row r="759" spans="1:9" ht="12.5">
      <c r="A759" s="47">
        <v>1893356</v>
      </c>
      <c r="B759" s="36" t="s">
        <v>1034</v>
      </c>
      <c r="C759" s="36" t="s">
        <v>1035</v>
      </c>
      <c r="D759" s="36" t="s">
        <v>6007</v>
      </c>
      <c r="E759" s="48" t="str">
        <f ca="1">IFERROR(__xludf.DUMMYFUNCTION("GOOGLETRANSLATE(D759)"),"SCRUM Practical Software Projects")</f>
        <v>SCRUM Practical Software Projects</v>
      </c>
      <c r="F759" s="36" t="s">
        <v>5855</v>
      </c>
      <c r="G759" s="45">
        <v>4.4751180000000002</v>
      </c>
      <c r="H759" s="45">
        <v>4.4211109999999998</v>
      </c>
      <c r="I759" s="36" t="s">
        <v>21</v>
      </c>
    </row>
    <row r="760" spans="1:9" ht="12.5">
      <c r="A760" s="47">
        <v>1729872</v>
      </c>
      <c r="B760" s="36" t="s">
        <v>1034</v>
      </c>
      <c r="C760" s="36" t="s">
        <v>1035</v>
      </c>
      <c r="D760" s="36" t="s">
        <v>6008</v>
      </c>
      <c r="E760" s="48" t="str">
        <f ca="1">IFERROR(__xludf.DUMMYFUNCTION("GOOGLETRANSLATE(D760)"),"Agile: Agile Express Course | Agile Project Management")</f>
        <v>Agile: Agile Express Course | Agile Project Management</v>
      </c>
      <c r="F760" s="36" t="s">
        <v>4683</v>
      </c>
      <c r="G760" s="45">
        <v>4.3837904999999999</v>
      </c>
      <c r="H760" s="45">
        <v>1.1213880000000001</v>
      </c>
      <c r="I760" s="36" t="s">
        <v>17</v>
      </c>
    </row>
    <row r="761" spans="1:9" ht="12.5">
      <c r="A761" s="47">
        <v>2407400</v>
      </c>
      <c r="B761" s="36" t="s">
        <v>1034</v>
      </c>
      <c r="C761" s="36" t="s">
        <v>1035</v>
      </c>
      <c r="D761" s="36" t="s">
        <v>6009</v>
      </c>
      <c r="E761" s="48" t="str">
        <f ca="1">IFERROR(__xludf.DUMMYFUNCTION("GOOGLETRANSLATE(D761)"),"Design Sprints: validate my idea in 5 days")</f>
        <v>Design Sprints: validate my idea in 5 days</v>
      </c>
      <c r="F761" s="36" t="s">
        <v>6010</v>
      </c>
      <c r="G761" s="45">
        <v>4.4346147</v>
      </c>
      <c r="H761" s="45">
        <v>3.6516660000000001</v>
      </c>
      <c r="I761" s="36" t="s">
        <v>17</v>
      </c>
    </row>
    <row r="762" spans="1:9" ht="12.5">
      <c r="A762" s="47">
        <v>1792444</v>
      </c>
      <c r="B762" s="36" t="s">
        <v>1034</v>
      </c>
      <c r="C762" s="36" t="s">
        <v>1035</v>
      </c>
      <c r="D762" s="36" t="s">
        <v>6011</v>
      </c>
      <c r="E762" s="48" t="str">
        <f ca="1">IFERROR(__xludf.DUMMYFUNCTION("GOOGLETRANSLATE(D762)"),"0 to Master: SCRUM guide before your exam")</f>
        <v>0 to Master: SCRUM guide before your exam</v>
      </c>
      <c r="F762" s="36" t="s">
        <v>6012</v>
      </c>
      <c r="G762" s="45">
        <v>3.7497497000000002</v>
      </c>
      <c r="H762" s="45">
        <v>3.4141659999999998</v>
      </c>
      <c r="I762" s="36" t="s">
        <v>17</v>
      </c>
    </row>
    <row r="763" spans="1:9" ht="12.5">
      <c r="A763" s="47">
        <v>1922200</v>
      </c>
      <c r="B763" s="36" t="s">
        <v>1034</v>
      </c>
      <c r="C763" s="36" t="s">
        <v>1035</v>
      </c>
      <c r="D763" s="36" t="s">
        <v>6013</v>
      </c>
      <c r="E763" s="48" t="str">
        <f ca="1">IFERROR(__xludf.DUMMYFUNCTION("GOOGLETRANSLATE(D763)"),"Agile with Scrum transformations lead @ Scale")</f>
        <v>Agile with Scrum transformations lead @ Scale</v>
      </c>
      <c r="F763" s="36" t="s">
        <v>6014</v>
      </c>
      <c r="G763" s="45">
        <v>3.7023799999999998</v>
      </c>
      <c r="H763" s="45">
        <v>3.8955549999999999</v>
      </c>
      <c r="I763" s="36" t="s">
        <v>72</v>
      </c>
    </row>
    <row r="764" spans="1:9" ht="12.5">
      <c r="A764" s="47">
        <v>956362</v>
      </c>
      <c r="B764" s="36" t="s">
        <v>1034</v>
      </c>
      <c r="C764" s="36" t="s">
        <v>1050</v>
      </c>
      <c r="D764" s="36" t="s">
        <v>6015</v>
      </c>
      <c r="E764" s="48" t="str">
        <f ca="1">IFERROR(__xludf.DUMMYFUNCTION("GOOGLETRANSLATE(D764)"),"SAP Concepts and initiation")</f>
        <v>SAP Concepts and initiation</v>
      </c>
      <c r="F764" s="36" t="s">
        <v>5282</v>
      </c>
      <c r="G764" s="45">
        <v>4.4426785000000004</v>
      </c>
      <c r="H764" s="45">
        <v>1.591666</v>
      </c>
      <c r="I764" s="36" t="s">
        <v>17</v>
      </c>
    </row>
    <row r="765" spans="1:9" ht="12.5">
      <c r="A765" s="47">
        <v>2196052</v>
      </c>
      <c r="B765" s="36" t="s">
        <v>1034</v>
      </c>
      <c r="C765" s="36" t="s">
        <v>1050</v>
      </c>
      <c r="D765" s="36" t="s">
        <v>6016</v>
      </c>
      <c r="E765" s="48" t="str">
        <f ca="1">IFERROR(__xludf.DUMMYFUNCTION("GOOGLETRANSLATE(D765)"),"Lean Six Sigma White Belt (CLSSWB)")</f>
        <v>Lean Six Sigma White Belt (CLSSWB)</v>
      </c>
      <c r="F765" s="36" t="s">
        <v>6017</v>
      </c>
      <c r="G765" s="45">
        <v>4.5609735999999996</v>
      </c>
      <c r="H765" s="45">
        <v>4.1294440000000003</v>
      </c>
      <c r="I765" s="36" t="s">
        <v>17</v>
      </c>
    </row>
    <row r="766" spans="1:9" ht="12.5">
      <c r="A766" s="47">
        <v>2508296</v>
      </c>
      <c r="B766" s="36" t="s">
        <v>1034</v>
      </c>
      <c r="C766" s="36" t="s">
        <v>1050</v>
      </c>
      <c r="D766" s="36" t="s">
        <v>6018</v>
      </c>
      <c r="E766" s="48" t="str">
        <f ca="1">IFERROR(__xludf.DUMMYFUNCTION("GOOGLETRANSLATE(D766)"),"Become a ANALYST BUSINESS INTELLIGENCE")</f>
        <v>Become a ANALYST BUSINESS INTELLIGENCE</v>
      </c>
      <c r="F766" s="36" t="s">
        <v>4982</v>
      </c>
      <c r="G766" s="45">
        <v>3.8600403999999999</v>
      </c>
      <c r="H766" s="45">
        <v>1.673333</v>
      </c>
      <c r="I766" s="36" t="s">
        <v>21</v>
      </c>
    </row>
    <row r="767" spans="1:9" ht="12.5">
      <c r="A767" s="47">
        <v>807730</v>
      </c>
      <c r="B767" s="36" t="s">
        <v>1034</v>
      </c>
      <c r="C767" s="36" t="s">
        <v>1050</v>
      </c>
      <c r="D767" s="36" t="s">
        <v>6019</v>
      </c>
      <c r="E767" s="48" t="str">
        <f ca="1">IFERROR(__xludf.DUMMYFUNCTION("GOOGLETRANSLATE(D767)"),"Internal audit of ISO 9001: 2015")</f>
        <v>Internal audit of ISO 9001: 2015</v>
      </c>
      <c r="F767" s="36" t="s">
        <v>6020</v>
      </c>
      <c r="G767" s="45">
        <v>4.3122954</v>
      </c>
      <c r="H767" s="45">
        <v>2.9308329999999998</v>
      </c>
      <c r="I767" s="36" t="s">
        <v>21</v>
      </c>
    </row>
    <row r="768" spans="1:9" ht="12.5">
      <c r="A768" s="47">
        <v>3008858</v>
      </c>
      <c r="B768" s="36" t="s">
        <v>1034</v>
      </c>
      <c r="C768" s="36" t="s">
        <v>1050</v>
      </c>
      <c r="D768" s="36" t="s">
        <v>6021</v>
      </c>
      <c r="E768" s="48" t="str">
        <f ca="1">IFERROR(__xludf.DUMMYFUNCTION("GOOGLETRANSLATE(D768)"),"ISO 9001: 2015 Systems Quality Management")</f>
        <v>ISO 9001: 2015 Systems Quality Management</v>
      </c>
      <c r="F768" s="36" t="s">
        <v>6022</v>
      </c>
      <c r="G768" s="45">
        <v>4.4671664</v>
      </c>
      <c r="H768" s="45">
        <v>4.6538880000000002</v>
      </c>
      <c r="I768" s="36" t="s">
        <v>72</v>
      </c>
    </row>
    <row r="769" spans="1:9" ht="12.5">
      <c r="A769" s="47">
        <v>2655162</v>
      </c>
      <c r="B769" s="36" t="s">
        <v>1034</v>
      </c>
      <c r="C769" s="36" t="s">
        <v>1050</v>
      </c>
      <c r="D769" s="36" t="s">
        <v>6023</v>
      </c>
      <c r="E769" s="48" t="str">
        <f ca="1">IFERROR(__xludf.DUMMYFUNCTION("GOOGLETRANSLATE(D769)"),"ISO 9001: 2015 Interpretation and implementation guide")</f>
        <v>ISO 9001: 2015 Interpretation and implementation guide</v>
      </c>
      <c r="F769" s="36" t="s">
        <v>6024</v>
      </c>
      <c r="G769" s="45">
        <v>4.5580816000000004</v>
      </c>
      <c r="H769" s="45">
        <v>2.4641660000000001</v>
      </c>
      <c r="I769" s="36" t="s">
        <v>21</v>
      </c>
    </row>
    <row r="770" spans="1:9" ht="12.5">
      <c r="A770" s="47">
        <v>1125322</v>
      </c>
      <c r="B770" s="36" t="s">
        <v>1034</v>
      </c>
      <c r="C770" s="36" t="s">
        <v>1043</v>
      </c>
      <c r="D770" s="36" t="s">
        <v>6025</v>
      </c>
      <c r="E770" s="48" t="str">
        <f ca="1">IFERROR(__xludf.DUMMYFUNCTION("GOOGLETRANSLATE(D770)"),"Scrum Master Certification World - Nov 2020")</f>
        <v>Scrum Master Certification World - Nov 2020</v>
      </c>
      <c r="F770" s="36" t="s">
        <v>6026</v>
      </c>
      <c r="G770" s="45">
        <v>4.3274713</v>
      </c>
      <c r="H770" s="45">
        <v>3.4436110000000002</v>
      </c>
      <c r="I770" s="36" t="s">
        <v>259</v>
      </c>
    </row>
    <row r="771" spans="1:9" ht="12.5">
      <c r="A771" s="47">
        <v>2388338</v>
      </c>
      <c r="B771" s="36" t="s">
        <v>1034</v>
      </c>
      <c r="C771" s="36" t="s">
        <v>1043</v>
      </c>
      <c r="D771" s="36" t="s">
        <v>6027</v>
      </c>
      <c r="E771" s="48" t="str">
        <f ca="1">IFERROR(__xludf.DUMMYFUNCTION("GOOGLETRANSLATE(D771)"),"Certification Professional Scrum Master I PSM ®")</f>
        <v>Certification Professional Scrum Master I PSM ®</v>
      </c>
      <c r="F771" s="36" t="s">
        <v>4951</v>
      </c>
      <c r="G771" s="45">
        <v>4.3208485000000003</v>
      </c>
      <c r="H771" s="45">
        <v>0.93388800000000005</v>
      </c>
      <c r="I771" s="36" t="s">
        <v>21</v>
      </c>
    </row>
    <row r="772" spans="1:9" ht="12.5">
      <c r="A772" s="47">
        <v>1852950</v>
      </c>
      <c r="B772" s="36" t="s">
        <v>1034</v>
      </c>
      <c r="C772" s="36" t="s">
        <v>1043</v>
      </c>
      <c r="D772" s="36" t="s">
        <v>6028</v>
      </c>
      <c r="E772" s="48" t="str">
        <f ca="1">IFERROR(__xludf.DUMMYFUNCTION("GOOGLETRANSLATE(D772)"),"Project Management | Certification in Project Management")</f>
        <v>Project Management | Certification in Project Management</v>
      </c>
      <c r="F772" s="36" t="s">
        <v>4683</v>
      </c>
      <c r="G772" s="45">
        <v>4.2066650000000001</v>
      </c>
      <c r="H772" s="45">
        <v>1.890555</v>
      </c>
      <c r="I772" s="36" t="s">
        <v>17</v>
      </c>
    </row>
    <row r="773" spans="1:9" ht="12.5">
      <c r="A773" s="47">
        <v>1401432</v>
      </c>
      <c r="B773" s="36" t="s">
        <v>1034</v>
      </c>
      <c r="C773" s="36" t="s">
        <v>1043</v>
      </c>
      <c r="D773" s="36" t="s">
        <v>6029</v>
      </c>
      <c r="E773" s="48" t="str">
        <f ca="1">IFERROR(__xludf.DUMMYFUNCTION("GOOGLETRANSLATE(D773)"),"Project Management with PMI PMBOK Guide Standards and 6")</f>
        <v>Project Management with PMI PMBOK Guide Standards and 6</v>
      </c>
      <c r="F773" s="36" t="s">
        <v>6030</v>
      </c>
      <c r="G773" s="45">
        <v>4.6193609999999996</v>
      </c>
      <c r="H773" s="45">
        <v>2.9880550000000001</v>
      </c>
      <c r="I773" s="36" t="s">
        <v>17</v>
      </c>
    </row>
    <row r="774" spans="1:9" ht="12.5">
      <c r="A774" s="47">
        <v>1895790</v>
      </c>
      <c r="B774" s="36" t="s">
        <v>1034</v>
      </c>
      <c r="C774" s="36" t="s">
        <v>1043</v>
      </c>
      <c r="D774" s="36" t="s">
        <v>6031</v>
      </c>
      <c r="E774" s="48" t="str">
        <f ca="1">IFERROR(__xludf.DUMMYFUNCTION("GOOGLETRANSLATE(D774)"),"Project Management - Small Projects")</f>
        <v>Project Management - Small Projects</v>
      </c>
      <c r="F774" s="36" t="s">
        <v>6032</v>
      </c>
      <c r="G774" s="45">
        <v>4.2403329999999997</v>
      </c>
      <c r="H774" s="45">
        <v>1.245555</v>
      </c>
      <c r="I774" s="36" t="s">
        <v>72</v>
      </c>
    </row>
    <row r="775" spans="1:9" ht="12.5">
      <c r="A775" s="47">
        <v>1881540</v>
      </c>
      <c r="B775" s="36" t="s">
        <v>1034</v>
      </c>
      <c r="C775" s="36" t="s">
        <v>1043</v>
      </c>
      <c r="D775" s="36" t="s">
        <v>6033</v>
      </c>
      <c r="E775" s="48" t="str">
        <f ca="1">IFERROR(__xludf.DUMMYFUNCTION("GOOGLETRANSLATE(D775)"),"Fundamentals of Project Management")</f>
        <v>Fundamentals of Project Management</v>
      </c>
      <c r="F775" s="36" t="s">
        <v>5679</v>
      </c>
      <c r="G775" s="45">
        <v>4.2688164999999998</v>
      </c>
      <c r="H775" s="45">
        <v>1.5930550000000001</v>
      </c>
      <c r="I775" s="36" t="s">
        <v>21</v>
      </c>
    </row>
    <row r="776" spans="1:9" ht="12.5">
      <c r="A776" s="47">
        <v>2574070</v>
      </c>
      <c r="B776" s="36" t="s">
        <v>1034</v>
      </c>
      <c r="C776" s="36" t="s">
        <v>1043</v>
      </c>
      <c r="D776" s="36" t="s">
        <v>6034</v>
      </c>
      <c r="E776" s="48" t="str">
        <f ca="1">IFERROR(__xludf.DUMMYFUNCTION("GOOGLETRANSLATE(D776)"),"Scrum Master Simulator Test &amp; Study Material")</f>
        <v>Scrum Master Simulator Test &amp; Study Material</v>
      </c>
      <c r="F776" s="36" t="s">
        <v>5595</v>
      </c>
      <c r="G776" s="45">
        <v>4.3697853000000002</v>
      </c>
      <c r="H776" s="49"/>
      <c r="I776" s="36" t="s">
        <v>21</v>
      </c>
    </row>
    <row r="777" spans="1:9" ht="12.5">
      <c r="A777" s="47">
        <v>2428004</v>
      </c>
      <c r="B777" s="36" t="s">
        <v>1034</v>
      </c>
      <c r="C777" s="36" t="s">
        <v>1043</v>
      </c>
      <c r="D777" s="36" t="s">
        <v>6035</v>
      </c>
      <c r="E777" s="48" t="str">
        <f ca="1">IFERROR(__xludf.DUMMYFUNCTION("GOOGLETRANSLATE(D777)"),"49 processes of PMBOK Guide VI, in detail")</f>
        <v>49 processes of PMBOK Guide VI, in detail</v>
      </c>
      <c r="F777" s="36" t="s">
        <v>6036</v>
      </c>
      <c r="G777" s="45">
        <v>4.2935743000000004</v>
      </c>
      <c r="H777" s="45">
        <v>5.1449999999999996</v>
      </c>
      <c r="I777" s="36" t="s">
        <v>21</v>
      </c>
    </row>
    <row r="778" spans="1:9" ht="12.5">
      <c r="A778" s="47">
        <v>1787526</v>
      </c>
      <c r="B778" s="36" t="s">
        <v>1034</v>
      </c>
      <c r="C778" s="36" t="s">
        <v>1043</v>
      </c>
      <c r="D778" s="36" t="s">
        <v>6037</v>
      </c>
      <c r="E778" s="48" t="str">
        <f ca="1">IFERROR(__xludf.DUMMYFUNCTION("GOOGLETRANSLATE(D778)"),"Certification course for Agile Scrum Foundation EXIN")</f>
        <v>Certification course for Agile Scrum Foundation EXIN</v>
      </c>
      <c r="F778" s="36" t="s">
        <v>6038</v>
      </c>
      <c r="G778" s="45">
        <v>4.5511999999999997</v>
      </c>
      <c r="H778" s="45">
        <v>2.8774999999999999</v>
      </c>
      <c r="I778" s="36" t="s">
        <v>21</v>
      </c>
    </row>
    <row r="779" spans="1:9" ht="12.5">
      <c r="A779" s="47">
        <v>1841658</v>
      </c>
      <c r="B779" s="36" t="s">
        <v>1034</v>
      </c>
      <c r="C779" s="36" t="s">
        <v>1043</v>
      </c>
      <c r="D779" s="36" t="s">
        <v>6039</v>
      </c>
      <c r="E779" s="48" t="str">
        <f ca="1">IFERROR(__xludf.DUMMYFUNCTION("GOOGLETRANSLATE(D779)"),"PMP Exam Tips - Version 6 of the PMBOK")</f>
        <v>PMP Exam Tips - Version 6 of the PMBOK</v>
      </c>
      <c r="F779" s="36" t="s">
        <v>6040</v>
      </c>
      <c r="G779" s="45">
        <v>4.1421514000000004</v>
      </c>
      <c r="H779" s="45">
        <v>3.196666</v>
      </c>
      <c r="I779" s="36" t="s">
        <v>259</v>
      </c>
    </row>
    <row r="780" spans="1:9" ht="12.5">
      <c r="A780" s="47">
        <v>1798680</v>
      </c>
      <c r="B780" s="36" t="s">
        <v>1034</v>
      </c>
      <c r="C780" s="36" t="s">
        <v>1040</v>
      </c>
      <c r="D780" s="36" t="s">
        <v>6041</v>
      </c>
      <c r="E780" s="48" t="str">
        <f ca="1">IFERROR(__xludf.DUMMYFUNCTION("GOOGLETRANSLATE(D780)"),"Specialization in Project Management")</f>
        <v>Specialization in Project Management</v>
      </c>
      <c r="F780" s="36" t="s">
        <v>4951</v>
      </c>
      <c r="G780" s="45">
        <v>4.2476370000000001</v>
      </c>
      <c r="H780" s="45">
        <v>5.5066660000000001</v>
      </c>
      <c r="I780" s="36" t="s">
        <v>21</v>
      </c>
    </row>
    <row r="781" spans="1:9" ht="12.5">
      <c r="A781" s="47">
        <v>2626702</v>
      </c>
      <c r="B781" s="36" t="s">
        <v>1034</v>
      </c>
      <c r="C781" s="36" t="s">
        <v>1040</v>
      </c>
      <c r="D781" s="36" t="s">
        <v>6042</v>
      </c>
      <c r="E781" s="48" t="str">
        <f ca="1">IFERROR(__xludf.DUMMYFUNCTION("GOOGLETRANSLATE(D781)"),"Project Management | Plan your projects from scratch")</f>
        <v>Project Management | Plan your projects from scratch</v>
      </c>
      <c r="F781" s="36" t="s">
        <v>6030</v>
      </c>
      <c r="G781" s="45">
        <v>4.6754100000000003</v>
      </c>
      <c r="H781" s="45">
        <v>4.368055</v>
      </c>
      <c r="I781" s="36" t="s">
        <v>17</v>
      </c>
    </row>
    <row r="782" spans="1:9" ht="12.5">
      <c r="A782" s="47">
        <v>2027872</v>
      </c>
      <c r="B782" s="36" t="s">
        <v>1034</v>
      </c>
      <c r="C782" s="36" t="s">
        <v>1047</v>
      </c>
      <c r="D782" s="36" t="s">
        <v>6043</v>
      </c>
      <c r="E782" s="48" t="str">
        <f ca="1">IFERROR(__xludf.DUMMYFUNCTION("GOOGLETRANSLATE(D782)"),"Domina SCRUM with JIRA - Agile Methodology")</f>
        <v>Domina SCRUM with JIRA - Agile Methodology</v>
      </c>
      <c r="F782" s="36" t="s">
        <v>4951</v>
      </c>
      <c r="G782" s="45">
        <v>4.2683949999999999</v>
      </c>
      <c r="H782" s="45">
        <v>2.9513880000000001</v>
      </c>
      <c r="I782" s="36" t="s">
        <v>21</v>
      </c>
    </row>
    <row r="783" spans="1:9" ht="12.5">
      <c r="A783" s="47">
        <v>1505156</v>
      </c>
      <c r="B783" s="36" t="s">
        <v>1034</v>
      </c>
      <c r="C783" s="36" t="s">
        <v>1047</v>
      </c>
      <c r="D783" s="36" t="s">
        <v>6044</v>
      </c>
      <c r="E783" s="48" t="str">
        <f ca="1">IFERROR(__xludf.DUMMYFUNCTION("GOOGLETRANSLATE(D783)"),"Course Project: Complete and from scratch for beginners")</f>
        <v>Course Project: Complete and from scratch for beginners</v>
      </c>
      <c r="F783" s="36" t="s">
        <v>5019</v>
      </c>
      <c r="G783" s="45">
        <v>4.4079199999999998</v>
      </c>
      <c r="H783" s="45">
        <v>5.2669439999999996</v>
      </c>
      <c r="I783" s="36" t="s">
        <v>72</v>
      </c>
    </row>
    <row r="784" spans="1:9" ht="12.5">
      <c r="A784" s="47">
        <v>1814586</v>
      </c>
      <c r="B784" s="36" t="s">
        <v>1034</v>
      </c>
      <c r="C784" s="36" t="s">
        <v>1047</v>
      </c>
      <c r="D784" s="36" t="s">
        <v>6045</v>
      </c>
      <c r="E784" s="48" t="str">
        <f ca="1">IFERROR(__xludf.DUMMYFUNCTION("GOOGLETRANSLATE(D784)"),"Manage Projects with MS Project Zero to Advanced")</f>
        <v>Manage Projects with MS Project Zero to Advanced</v>
      </c>
      <c r="F784" s="36" t="s">
        <v>6046</v>
      </c>
      <c r="G784" s="45">
        <v>4.3303932999999999</v>
      </c>
      <c r="H784" s="45">
        <v>23.87</v>
      </c>
      <c r="I784" s="36" t="s">
        <v>72</v>
      </c>
    </row>
    <row r="785" spans="1:9" ht="12.5">
      <c r="A785" s="47">
        <v>2012666</v>
      </c>
      <c r="B785" s="36" t="s">
        <v>1034</v>
      </c>
      <c r="C785" s="36" t="s">
        <v>1047</v>
      </c>
      <c r="D785" s="36" t="s">
        <v>6047</v>
      </c>
      <c r="E785" s="48" t="str">
        <f ca="1">IFERROR(__xludf.DUMMYFUNCTION("GOOGLETRANSLATE(D785)"),"Design of Residential and Commercial Photovoltaic Systems")</f>
        <v>Design of Residential and Commercial Photovoltaic Systems</v>
      </c>
      <c r="F785" s="36" t="s">
        <v>6048</v>
      </c>
      <c r="G785" s="45">
        <v>4.4507604000000001</v>
      </c>
      <c r="H785" s="45">
        <v>2.9630550000000002</v>
      </c>
      <c r="I785" s="36" t="s">
        <v>21</v>
      </c>
    </row>
    <row r="786" spans="1:9" ht="12.5">
      <c r="A786" s="47">
        <v>1484182</v>
      </c>
      <c r="B786" s="36" t="s">
        <v>1034</v>
      </c>
      <c r="C786" s="36" t="s">
        <v>1047</v>
      </c>
      <c r="D786" s="36" t="s">
        <v>6049</v>
      </c>
      <c r="E786" s="48" t="str">
        <f ca="1">IFERROR(__xludf.DUMMYFUNCTION("GOOGLETRANSLATE(D786)"),"Project Management with Oracle Primavera P6")</f>
        <v>Project Management with Oracle Primavera P6</v>
      </c>
      <c r="F786" s="36" t="s">
        <v>6050</v>
      </c>
      <c r="G786" s="45">
        <v>4.6047883000000001</v>
      </c>
      <c r="H786" s="45">
        <v>15.804444</v>
      </c>
      <c r="I786" s="36" t="s">
        <v>21</v>
      </c>
    </row>
    <row r="787" spans="1:9" ht="12.5">
      <c r="A787" s="47">
        <v>1609358</v>
      </c>
      <c r="B787" s="36" t="s">
        <v>1066</v>
      </c>
      <c r="C787" s="36" t="s">
        <v>1076</v>
      </c>
      <c r="D787" s="36" t="s">
        <v>6051</v>
      </c>
      <c r="E787" s="48" t="str">
        <f ca="1">IFERROR(__xludf.DUMMYFUNCTION("GOOGLETRANSLATE(D787)"),"Customer care with Emotional Intelligence")</f>
        <v>Customer care with Emotional Intelligence</v>
      </c>
      <c r="F787" s="36" t="s">
        <v>5685</v>
      </c>
      <c r="G787" s="45">
        <v>4.4138755999999999</v>
      </c>
      <c r="H787" s="45">
        <v>1.8925000000000001</v>
      </c>
      <c r="I787" s="36" t="s">
        <v>17</v>
      </c>
    </row>
    <row r="788" spans="1:9" ht="12.5">
      <c r="A788" s="47">
        <v>177906</v>
      </c>
      <c r="B788" s="36" t="s">
        <v>1066</v>
      </c>
      <c r="C788" s="36" t="s">
        <v>1076</v>
      </c>
      <c r="D788" s="36" t="s">
        <v>6052</v>
      </c>
      <c r="E788" s="48" t="str">
        <f ca="1">IFERROR(__xludf.DUMMYFUNCTION("GOOGLETRANSLATE(D788)"),"Full course SAP MM from Cero")</f>
        <v>Full course SAP MM from Cero</v>
      </c>
      <c r="F788" s="36" t="s">
        <v>5440</v>
      </c>
      <c r="G788" s="45">
        <v>4.4568152000000003</v>
      </c>
      <c r="H788" s="45">
        <v>14.480276999999999</v>
      </c>
      <c r="I788" s="36" t="s">
        <v>21</v>
      </c>
    </row>
    <row r="789" spans="1:9" ht="12.5">
      <c r="A789" s="47">
        <v>1433498</v>
      </c>
      <c r="B789" s="36" t="s">
        <v>1066</v>
      </c>
      <c r="C789" s="36" t="s">
        <v>1076</v>
      </c>
      <c r="D789" s="36" t="s">
        <v>6053</v>
      </c>
      <c r="E789" s="48" t="str">
        <f ca="1">IFERROR(__xludf.DUMMYFUNCTION("GOOGLETRANSLATE(D789)"),"The Golden Rules Customer Service")</f>
        <v>The Golden Rules Customer Service</v>
      </c>
      <c r="F789" s="36" t="s">
        <v>6054</v>
      </c>
      <c r="G789" s="45">
        <v>4.4190060000000004</v>
      </c>
      <c r="H789" s="45">
        <v>1.056111</v>
      </c>
      <c r="I789" s="36" t="s">
        <v>21</v>
      </c>
    </row>
    <row r="790" spans="1:9" ht="12.5">
      <c r="A790" s="47">
        <v>899216</v>
      </c>
      <c r="B790" s="36" t="s">
        <v>1066</v>
      </c>
      <c r="C790" s="36" t="s">
        <v>1067</v>
      </c>
      <c r="D790" s="36" t="s">
        <v>6055</v>
      </c>
      <c r="E790" s="48" t="str">
        <f ca="1">IFERROR(__xludf.DUMMYFUNCTION("GOOGLETRANSLATE(D790)"),"Negotiation: How to Negotiate effectively and successfully")</f>
        <v>Negotiation: How to Negotiate effectively and successfully</v>
      </c>
      <c r="F790" s="36" t="s">
        <v>6056</v>
      </c>
      <c r="G790" s="45">
        <v>3.8053617000000002</v>
      </c>
      <c r="H790" s="45">
        <v>2.782222</v>
      </c>
      <c r="I790" s="36" t="s">
        <v>21</v>
      </c>
    </row>
    <row r="791" spans="1:9" ht="12.5">
      <c r="A791" s="47">
        <v>505956</v>
      </c>
      <c r="B791" s="36" t="s">
        <v>1066</v>
      </c>
      <c r="C791" s="36" t="s">
        <v>1067</v>
      </c>
      <c r="D791" s="36" t="s">
        <v>6057</v>
      </c>
      <c r="E791" s="48" t="str">
        <f ca="1">IFERROR(__xludf.DUMMYFUNCTION("GOOGLETRANSLATE(D791)"),"Sales: 25 Closings to Overcome Sales Objections")</f>
        <v>Sales: 25 Closings to Overcome Sales Objections</v>
      </c>
      <c r="F791" s="36" t="s">
        <v>6058</v>
      </c>
      <c r="G791" s="45">
        <v>4.4915039999999999</v>
      </c>
      <c r="H791" s="45">
        <v>1.354722</v>
      </c>
      <c r="I791" s="36" t="s">
        <v>21</v>
      </c>
    </row>
    <row r="792" spans="1:9" ht="12.5">
      <c r="A792" s="47">
        <v>1214088</v>
      </c>
      <c r="B792" s="36" t="s">
        <v>1066</v>
      </c>
      <c r="C792" s="36" t="s">
        <v>1067</v>
      </c>
      <c r="D792" s="36" t="s">
        <v>6059</v>
      </c>
      <c r="E792" s="48" t="str">
        <f ca="1">IFERROR(__xludf.DUMMYFUNCTION("GOOGLETRANSLATE(D792)"),"B2B Sales Strategy: Become a Top Seller")</f>
        <v>B2B Sales Strategy: Become a Top Seller</v>
      </c>
      <c r="F792" s="36" t="s">
        <v>5757</v>
      </c>
      <c r="G792" s="45">
        <v>4.1521087000000003</v>
      </c>
      <c r="H792" s="45">
        <v>1.807777</v>
      </c>
      <c r="I792" s="36" t="s">
        <v>21</v>
      </c>
    </row>
    <row r="793" spans="1:9" ht="12.5">
      <c r="A793" s="47">
        <v>1437280</v>
      </c>
      <c r="B793" s="36" t="s">
        <v>1066</v>
      </c>
      <c r="C793" s="36" t="s">
        <v>1067</v>
      </c>
      <c r="D793" s="36" t="s">
        <v>6060</v>
      </c>
      <c r="E793" s="48" t="str">
        <f ca="1">IFERROR(__xludf.DUMMYFUNCTION("GOOGLETRANSLATE(D793)"),"Sales Step by Step: Complete Course to Increase Your Sales")</f>
        <v>Sales Step by Step: Complete Course to Increase Your Sales</v>
      </c>
      <c r="F793" s="36" t="s">
        <v>5780</v>
      </c>
      <c r="G793" s="45">
        <v>4.359877</v>
      </c>
      <c r="H793" s="45">
        <v>7.1694440000000004</v>
      </c>
      <c r="I793" s="36" t="s">
        <v>21</v>
      </c>
    </row>
    <row r="794" spans="1:9" ht="12.5">
      <c r="A794" s="47">
        <v>1733198</v>
      </c>
      <c r="B794" s="36" t="s">
        <v>1066</v>
      </c>
      <c r="C794" s="36" t="s">
        <v>1067</v>
      </c>
      <c r="D794" s="36" t="s">
        <v>6061</v>
      </c>
      <c r="E794" s="48" t="str">
        <f ca="1">IFERROR(__xludf.DUMMYFUNCTION("GOOGLETRANSLATE(D794)"),"Cold Call 3.0 - Direct Assertive sale")</f>
        <v>Cold Call 3.0 - Direct Assertive sale</v>
      </c>
      <c r="F794" s="36" t="s">
        <v>6062</v>
      </c>
      <c r="G794" s="45">
        <v>4.2936163000000001</v>
      </c>
      <c r="H794" s="45">
        <v>2.6152769999999999</v>
      </c>
      <c r="I794" s="36" t="s">
        <v>21</v>
      </c>
    </row>
    <row r="795" spans="1:9" ht="12.5">
      <c r="A795" s="47">
        <v>421198</v>
      </c>
      <c r="B795" s="36" t="s">
        <v>1066</v>
      </c>
      <c r="C795" s="36" t="s">
        <v>1067</v>
      </c>
      <c r="D795" s="36" t="s">
        <v>6063</v>
      </c>
      <c r="E795" s="48" t="str">
        <f ca="1">IFERROR(__xludf.DUMMYFUNCTION("GOOGLETRANSLATE(D795)"),"Sales Leadership with Human Quality")</f>
        <v>Sales Leadership with Human Quality</v>
      </c>
      <c r="F795" s="36" t="s">
        <v>6064</v>
      </c>
      <c r="G795" s="45">
        <v>4.6412149999999999</v>
      </c>
      <c r="H795" s="45">
        <v>1.7925</v>
      </c>
      <c r="I795" s="36" t="s">
        <v>21</v>
      </c>
    </row>
    <row r="796" spans="1:9" ht="12.5">
      <c r="A796" s="47">
        <v>1031466</v>
      </c>
      <c r="B796" s="36" t="s">
        <v>1066</v>
      </c>
      <c r="C796" s="36" t="s">
        <v>1067</v>
      </c>
      <c r="D796" s="36" t="s">
        <v>6065</v>
      </c>
      <c r="E796" s="48" t="str">
        <f ca="1">IFERROR(__xludf.DUMMYFUNCTION("GOOGLETRANSLATE(D796)"),"Negotiation in Times of Uncertainty")</f>
        <v>Negotiation in Times of Uncertainty</v>
      </c>
      <c r="F796" s="36" t="s">
        <v>6066</v>
      </c>
      <c r="G796" s="45">
        <v>4.7131169999999996</v>
      </c>
      <c r="H796" s="45">
        <v>2.4972219999999998</v>
      </c>
      <c r="I796" s="36" t="s">
        <v>72</v>
      </c>
    </row>
    <row r="797" spans="1:9" ht="12.5">
      <c r="A797" s="47">
        <v>209742</v>
      </c>
      <c r="B797" s="36" t="s">
        <v>1066</v>
      </c>
      <c r="C797" s="36" t="s">
        <v>1067</v>
      </c>
      <c r="D797" s="36" t="s">
        <v>6067</v>
      </c>
      <c r="E797" s="48" t="str">
        <f ca="1">IFERROR(__xludf.DUMMYFUNCTION("GOOGLETRANSLATE(D797)"),"Never cold call")</f>
        <v>Never cold call</v>
      </c>
      <c r="F797" s="36" t="s">
        <v>6068</v>
      </c>
      <c r="G797" s="45">
        <v>4.5137977999999999</v>
      </c>
      <c r="H797" s="45">
        <v>5.0319440000000002</v>
      </c>
      <c r="I797" s="36" t="s">
        <v>21</v>
      </c>
    </row>
    <row r="798" spans="1:9" ht="12.5">
      <c r="A798" s="47">
        <v>1461758</v>
      </c>
      <c r="B798" s="36" t="s">
        <v>1066</v>
      </c>
      <c r="C798" s="36" t="s">
        <v>1067</v>
      </c>
      <c r="D798" s="36" t="s">
        <v>6069</v>
      </c>
      <c r="E798" s="48" t="str">
        <f ca="1">IFERROR(__xludf.DUMMYFUNCTION("GOOGLETRANSLATE(D798)"),"Sales Professionals for Latino entrepreneurs")</f>
        <v>Sales Professionals for Latino entrepreneurs</v>
      </c>
      <c r="F798" s="36" t="s">
        <v>6062</v>
      </c>
      <c r="G798" s="45">
        <v>4.6792049999999996</v>
      </c>
      <c r="H798" s="45">
        <v>5.2686109999999999</v>
      </c>
      <c r="I798" s="36" t="s">
        <v>21</v>
      </c>
    </row>
    <row r="799" spans="1:9" ht="12.5">
      <c r="A799" s="47">
        <v>2343392</v>
      </c>
      <c r="B799" s="36" t="s">
        <v>1082</v>
      </c>
      <c r="C799" s="36" t="s">
        <v>1083</v>
      </c>
      <c r="D799" s="36" t="s">
        <v>6070</v>
      </c>
      <c r="E799" s="48" t="str">
        <f ca="1">IFERROR(__xludf.DUMMYFUNCTION("GOOGLETRANSLATE(D799)"),"Computer Security for Business. Protect your data. 2020")</f>
        <v>Computer Security for Business. Protect your data. 2020</v>
      </c>
      <c r="F799" s="36" t="s">
        <v>4949</v>
      </c>
      <c r="G799" s="45">
        <v>4.4747114000000003</v>
      </c>
      <c r="H799" s="45">
        <v>2.7963879999999999</v>
      </c>
      <c r="I799" s="36" t="s">
        <v>21</v>
      </c>
    </row>
    <row r="800" spans="1:9" ht="12.5">
      <c r="A800" s="47">
        <v>1603752</v>
      </c>
      <c r="B800" s="36" t="s">
        <v>1082</v>
      </c>
      <c r="C800" s="36" t="s">
        <v>2283</v>
      </c>
      <c r="D800" s="36" t="s">
        <v>6071</v>
      </c>
      <c r="E800" s="48" t="str">
        <f ca="1">IFERROR(__xludf.DUMMYFUNCTION("GOOGLETRANSLATE(D800)"),"How to build and measure your KPI's HR in your organization")</f>
        <v>How to build and measure your KPI's HR in your organization</v>
      </c>
      <c r="F800" s="36" t="s">
        <v>6072</v>
      </c>
      <c r="G800" s="45">
        <v>3.9822109999999999</v>
      </c>
      <c r="H800" s="45">
        <v>1.8491660000000001</v>
      </c>
      <c r="I800" s="36" t="s">
        <v>21</v>
      </c>
    </row>
    <row r="801" spans="1:9" ht="12.5">
      <c r="A801" s="47">
        <v>1420530</v>
      </c>
      <c r="B801" s="36" t="s">
        <v>1082</v>
      </c>
      <c r="C801" s="36" t="s">
        <v>2283</v>
      </c>
      <c r="D801" s="36" t="s">
        <v>6073</v>
      </c>
      <c r="E801" s="48" t="str">
        <f ca="1">IFERROR(__xludf.DUMMYFUNCTION("GOOGLETRANSLATE(D801)"),"Facilitating workshops (advanced)")</f>
        <v>Facilitating workshops (advanced)</v>
      </c>
      <c r="F801" s="36" t="s">
        <v>6074</v>
      </c>
      <c r="G801" s="45">
        <v>4.7632313000000002</v>
      </c>
      <c r="H801" s="45">
        <v>2.4147219999999998</v>
      </c>
      <c r="I801" s="36" t="s">
        <v>21</v>
      </c>
    </row>
    <row r="802" spans="1:9" ht="12.5">
      <c r="A802" s="47">
        <v>1847354</v>
      </c>
      <c r="B802" s="36" t="s">
        <v>1082</v>
      </c>
      <c r="C802" s="36" t="s">
        <v>2293</v>
      </c>
      <c r="D802" s="36" t="s">
        <v>6075</v>
      </c>
      <c r="E802" s="48" t="str">
        <f ca="1">IFERROR(__xludf.DUMMYFUNCTION("GOOGLETRANSLATE(D802)"),"Course Management Expert Team")</f>
        <v>Course Management Expert Team</v>
      </c>
      <c r="F802" s="36" t="s">
        <v>6076</v>
      </c>
      <c r="G802" s="45">
        <v>4.3784489999999998</v>
      </c>
      <c r="H802" s="45">
        <v>3.2216659999999999</v>
      </c>
      <c r="I802" s="36" t="s">
        <v>21</v>
      </c>
    </row>
    <row r="803" spans="1:9" ht="12.5">
      <c r="A803" s="47">
        <v>1513984</v>
      </c>
      <c r="B803" s="36" t="s">
        <v>1082</v>
      </c>
      <c r="C803" s="36" t="s">
        <v>2293</v>
      </c>
      <c r="D803" s="36" t="s">
        <v>6077</v>
      </c>
      <c r="E803" s="48" t="str">
        <f ca="1">IFERROR(__xludf.DUMMYFUNCTION("GOOGLETRANSLATE(D803)"),"Neuroeducación and neurodidactics - Tools to educate")</f>
        <v>Neuroeducación and neurodidactics - Tools to educate</v>
      </c>
      <c r="F803" s="36" t="s">
        <v>6078</v>
      </c>
      <c r="G803" s="45">
        <v>4.6971129999999999</v>
      </c>
      <c r="H803" s="45">
        <v>2.0661109999999998</v>
      </c>
      <c r="I803" s="36" t="s">
        <v>21</v>
      </c>
    </row>
    <row r="804" spans="1:9" ht="12.5">
      <c r="A804" s="47">
        <v>3143868</v>
      </c>
      <c r="B804" s="36" t="s">
        <v>1082</v>
      </c>
      <c r="C804" s="36" t="s">
        <v>2293</v>
      </c>
      <c r="D804" s="36" t="s">
        <v>6079</v>
      </c>
      <c r="E804" s="48" t="str">
        <f ca="1">IFERROR(__xludf.DUMMYFUNCTION("GOOGLETRANSLATE(D804)"),"Google Classroom: Implementation of a practical example")</f>
        <v>Google Classroom: Implementation of a practical example</v>
      </c>
      <c r="F804" s="36" t="s">
        <v>6080</v>
      </c>
      <c r="G804" s="45">
        <v>4.4898056999999998</v>
      </c>
      <c r="H804" s="45">
        <v>3.065277</v>
      </c>
      <c r="I804" s="36" t="s">
        <v>17</v>
      </c>
    </row>
    <row r="805" spans="1:9" ht="12.5">
      <c r="A805" s="47">
        <v>2672592</v>
      </c>
      <c r="B805" s="36" t="s">
        <v>1082</v>
      </c>
      <c r="C805" s="36" t="s">
        <v>1086</v>
      </c>
      <c r="D805" s="36" t="s">
        <v>6081</v>
      </c>
      <c r="E805" s="48" t="str">
        <f ca="1">IFERROR(__xludf.DUMMYFUNCTION("GOOGLETRANSLATE(D805)"),"There is a course more than recruiting IT")</f>
        <v>There is a course more than recruiting IT</v>
      </c>
      <c r="F805" s="36" t="s">
        <v>6082</v>
      </c>
      <c r="G805" s="45">
        <v>4.6550225999999997</v>
      </c>
      <c r="H805" s="45">
        <v>2.466666</v>
      </c>
      <c r="I805" s="36" t="s">
        <v>21</v>
      </c>
    </row>
    <row r="806" spans="1:9" ht="12.5">
      <c r="A806" s="47">
        <v>3412714</v>
      </c>
      <c r="B806" s="36" t="s">
        <v>1082</v>
      </c>
      <c r="C806" s="36" t="s">
        <v>6083</v>
      </c>
      <c r="D806" s="36" t="s">
        <v>6084</v>
      </c>
      <c r="E806" s="48" t="str">
        <f ca="1">IFERROR(__xludf.DUMMYFUNCTION("GOOGLETRANSLATE(D806)"),"LABOR BIOSEGURIDAD COVID 19 - TIPS AND FIELD GUIDES")</f>
        <v>LABOR BIOSEGURIDAD COVID 19 - TIPS AND FIELD GUIDES</v>
      </c>
      <c r="F806" s="36" t="s">
        <v>6085</v>
      </c>
      <c r="G806" s="45">
        <v>4.8585070000000004</v>
      </c>
      <c r="H806" s="45">
        <v>4.0930549999999997</v>
      </c>
      <c r="I806" s="36" t="s">
        <v>21</v>
      </c>
    </row>
  </sheetData>
  <autoFilter ref="A4:I806" xr:uid="{00000000-0009-0000-0000-000004000000}">
    <sortState xmlns:xlrd2="http://schemas.microsoft.com/office/spreadsheetml/2017/richdata2" ref="A4:I806">
      <sortCondition ref="B4:B806"/>
      <sortCondition ref="C4:C806"/>
      <sortCondition ref="D4:D806"/>
    </sortState>
  </autoFilter>
  <mergeCells count="3">
    <mergeCell ref="D1:G1"/>
    <mergeCell ref="B2:I2"/>
    <mergeCell ref="B3:I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332"/>
  <sheetViews>
    <sheetView workbookViewId="0">
      <pane ySplit="1" topLeftCell="A2" activePane="bottomLeft" state="frozen"/>
      <selection pane="bottomLeft" activeCell="B3" sqref="B3"/>
    </sheetView>
  </sheetViews>
  <sheetFormatPr defaultColWidth="14.453125" defaultRowHeight="15.75" customHeight="1"/>
  <cols>
    <col min="1" max="9" width="14.453125" customWidth="1"/>
  </cols>
  <sheetData>
    <row r="1" spans="1:9" ht="15.75" customHeight="1">
      <c r="A1" s="50"/>
      <c r="B1" s="40"/>
      <c r="C1" s="51"/>
      <c r="D1" s="52"/>
      <c r="E1" s="53"/>
      <c r="F1" s="52"/>
      <c r="G1" s="54"/>
      <c r="H1" s="40"/>
      <c r="I1" s="51"/>
    </row>
    <row r="2" spans="1:9" ht="15.75" customHeight="1">
      <c r="B2" s="55"/>
      <c r="C2" s="56"/>
      <c r="E2" s="55"/>
      <c r="F2" s="56"/>
      <c r="G2" s="57"/>
      <c r="H2" s="58"/>
      <c r="I2" s="59"/>
    </row>
    <row r="3" spans="1:9" ht="15.75" customHeight="1">
      <c r="B3" s="55"/>
      <c r="C3" s="56"/>
      <c r="E3" s="55"/>
      <c r="F3" s="56"/>
      <c r="G3" s="57"/>
      <c r="H3" s="58"/>
      <c r="I3" s="59"/>
    </row>
    <row r="4" spans="1:9" ht="15.75" customHeight="1">
      <c r="B4" s="55"/>
      <c r="C4" s="60"/>
      <c r="E4" s="55"/>
      <c r="F4" s="56"/>
      <c r="G4" s="57"/>
      <c r="H4" s="58"/>
      <c r="I4" s="59"/>
    </row>
    <row r="5" spans="1:9" ht="15.75" customHeight="1">
      <c r="B5" s="55"/>
      <c r="C5" s="60"/>
      <c r="E5" s="55"/>
      <c r="F5" s="56"/>
      <c r="G5" s="57"/>
      <c r="H5" s="58"/>
      <c r="I5" s="59"/>
    </row>
    <row r="6" spans="1:9" ht="15.75" customHeight="1">
      <c r="B6" s="61"/>
      <c r="C6" s="60"/>
      <c r="E6" s="55"/>
      <c r="F6" s="56"/>
      <c r="G6" s="57"/>
      <c r="H6" s="58"/>
      <c r="I6" s="59"/>
    </row>
    <row r="7" spans="1:9" ht="15.75" customHeight="1">
      <c r="B7" s="55"/>
      <c r="C7" s="56"/>
      <c r="E7" s="55"/>
      <c r="F7" s="56"/>
      <c r="G7" s="57"/>
      <c r="H7" s="58"/>
      <c r="I7" s="59"/>
    </row>
    <row r="8" spans="1:9" ht="15.75" customHeight="1">
      <c r="B8" s="55"/>
      <c r="C8" s="56"/>
      <c r="E8" s="55"/>
      <c r="F8" s="56"/>
      <c r="G8" s="57"/>
      <c r="H8" s="58"/>
      <c r="I8" s="59"/>
    </row>
    <row r="9" spans="1:9" ht="15.75" customHeight="1">
      <c r="B9" s="55"/>
      <c r="C9" s="56"/>
      <c r="E9" s="55"/>
      <c r="F9" s="56"/>
      <c r="G9" s="57"/>
      <c r="H9" s="58"/>
      <c r="I9" s="59"/>
    </row>
    <row r="10" spans="1:9" ht="15.75" customHeight="1">
      <c r="B10" s="55"/>
      <c r="C10" s="56"/>
      <c r="E10" s="55"/>
      <c r="F10" s="56"/>
      <c r="G10" s="57"/>
      <c r="H10" s="58"/>
      <c r="I10" s="59"/>
    </row>
    <row r="11" spans="1:9" ht="15.75" customHeight="1">
      <c r="B11" s="55"/>
      <c r="C11" s="56"/>
      <c r="E11" s="55"/>
      <c r="F11" s="56"/>
      <c r="G11" s="57"/>
      <c r="H11" s="58"/>
      <c r="I11" s="59"/>
    </row>
    <row r="12" spans="1:9" ht="15.75" customHeight="1">
      <c r="B12" s="55"/>
      <c r="C12" s="60"/>
      <c r="E12" s="55"/>
      <c r="F12" s="56"/>
      <c r="G12" s="57"/>
      <c r="H12" s="58"/>
      <c r="I12" s="59"/>
    </row>
    <row r="13" spans="1:9" ht="15.75" customHeight="1">
      <c r="B13" s="55"/>
      <c r="C13" s="60"/>
      <c r="E13" s="55"/>
      <c r="F13" s="56"/>
      <c r="G13" s="57"/>
      <c r="H13" s="58"/>
      <c r="I13" s="59"/>
    </row>
    <row r="14" spans="1:9" ht="12.5">
      <c r="B14" s="55"/>
      <c r="C14" s="56"/>
      <c r="E14" s="55"/>
      <c r="F14" s="56"/>
      <c r="G14" s="57"/>
      <c r="H14" s="58"/>
      <c r="I14" s="59"/>
    </row>
    <row r="15" spans="1:9" ht="12.5">
      <c r="B15" s="55"/>
      <c r="C15" s="56"/>
      <c r="E15" s="55"/>
      <c r="F15" s="56"/>
      <c r="G15" s="57"/>
      <c r="H15" s="58"/>
      <c r="I15" s="59"/>
    </row>
    <row r="16" spans="1:9" ht="12.5">
      <c r="B16" s="55"/>
      <c r="C16" s="60"/>
      <c r="E16" s="55"/>
      <c r="F16" s="56"/>
      <c r="G16" s="57"/>
      <c r="H16" s="58"/>
      <c r="I16" s="59"/>
    </row>
    <row r="17" spans="2:9" ht="12.5">
      <c r="B17" s="55"/>
      <c r="C17" s="56"/>
      <c r="E17" s="55"/>
      <c r="F17" s="56"/>
      <c r="G17" s="57"/>
      <c r="H17" s="58"/>
      <c r="I17" s="59"/>
    </row>
    <row r="18" spans="2:9" ht="12.5">
      <c r="B18" s="55"/>
      <c r="C18" s="60"/>
      <c r="E18" s="55"/>
      <c r="F18" s="56"/>
      <c r="G18" s="57"/>
      <c r="H18" s="58"/>
      <c r="I18" s="59"/>
    </row>
    <row r="19" spans="2:9" ht="12.5">
      <c r="B19" s="55"/>
      <c r="C19" s="56"/>
      <c r="E19" s="55"/>
      <c r="F19" s="56"/>
      <c r="G19" s="57"/>
      <c r="H19" s="58"/>
      <c r="I19" s="59"/>
    </row>
    <row r="20" spans="2:9" ht="12.5">
      <c r="B20" s="55"/>
      <c r="C20" s="60"/>
      <c r="E20" s="55"/>
      <c r="F20" s="56"/>
      <c r="G20" s="57"/>
      <c r="H20" s="58"/>
      <c r="I20" s="59"/>
    </row>
    <row r="21" spans="2:9" ht="12.5">
      <c r="B21" s="55"/>
      <c r="C21" s="56"/>
      <c r="E21" s="55"/>
      <c r="F21" s="56"/>
      <c r="G21" s="57"/>
      <c r="H21" s="58"/>
      <c r="I21" s="56"/>
    </row>
    <row r="22" spans="2:9" ht="12.5">
      <c r="B22" s="55"/>
      <c r="C22" s="60"/>
      <c r="E22" s="55"/>
      <c r="F22" s="56"/>
      <c r="G22" s="57"/>
      <c r="H22" s="62"/>
      <c r="I22" s="59"/>
    </row>
    <row r="23" spans="2:9" ht="12.5">
      <c r="B23" s="55"/>
      <c r="C23" s="60"/>
      <c r="E23" s="55"/>
      <c r="F23" s="56"/>
      <c r="G23" s="57"/>
      <c r="H23" s="58"/>
      <c r="I23" s="59"/>
    </row>
    <row r="24" spans="2:9" ht="12.5">
      <c r="B24" s="55"/>
      <c r="C24" s="56"/>
      <c r="E24" s="55"/>
      <c r="F24" s="56"/>
      <c r="G24" s="57"/>
      <c r="H24" s="58"/>
      <c r="I24" s="59"/>
    </row>
    <row r="25" spans="2:9" ht="12.5">
      <c r="B25" s="55"/>
      <c r="C25" s="60"/>
      <c r="E25" s="55"/>
      <c r="F25" s="56"/>
      <c r="G25" s="57"/>
      <c r="H25" s="58"/>
      <c r="I25" s="59"/>
    </row>
    <row r="26" spans="2:9" ht="12.5">
      <c r="B26" s="55"/>
      <c r="C26" s="60"/>
      <c r="E26" s="55"/>
      <c r="F26" s="56"/>
      <c r="G26" s="57"/>
      <c r="H26" s="58"/>
      <c r="I26" s="59"/>
    </row>
    <row r="27" spans="2:9" ht="12.5">
      <c r="B27" s="55"/>
      <c r="C27" s="56"/>
      <c r="E27" s="55"/>
      <c r="F27" s="56"/>
      <c r="G27" s="57"/>
      <c r="H27" s="58"/>
      <c r="I27" s="59"/>
    </row>
    <row r="28" spans="2:9" ht="12.5">
      <c r="B28" s="55"/>
      <c r="C28" s="60"/>
      <c r="E28" s="55"/>
      <c r="F28" s="56"/>
      <c r="G28" s="57"/>
      <c r="H28" s="58"/>
      <c r="I28" s="59"/>
    </row>
    <row r="29" spans="2:9" ht="12.5">
      <c r="B29" s="55"/>
      <c r="C29" s="56"/>
      <c r="E29" s="55"/>
      <c r="F29" s="56"/>
      <c r="G29" s="57"/>
      <c r="H29" s="58"/>
      <c r="I29" s="56"/>
    </row>
    <row r="30" spans="2:9" ht="12.5">
      <c r="B30" s="55"/>
      <c r="C30" s="56"/>
      <c r="E30" s="55"/>
      <c r="F30" s="56"/>
      <c r="G30" s="57"/>
      <c r="H30" s="58"/>
      <c r="I30" s="59"/>
    </row>
    <row r="31" spans="2:9" ht="12.5">
      <c r="B31" s="55"/>
      <c r="C31" s="56"/>
      <c r="E31" s="55"/>
      <c r="F31" s="56"/>
      <c r="G31" s="57"/>
      <c r="H31" s="58"/>
      <c r="I31" s="59"/>
    </row>
    <row r="32" spans="2:9" ht="12.5">
      <c r="B32" s="55"/>
      <c r="C32" s="60"/>
      <c r="E32" s="55"/>
      <c r="F32" s="56"/>
      <c r="G32" s="57"/>
      <c r="H32" s="58"/>
      <c r="I32" s="59"/>
    </row>
    <row r="33" spans="2:9" ht="12.5">
      <c r="B33" s="55"/>
      <c r="C33" s="60"/>
      <c r="E33" s="55"/>
      <c r="F33" s="56"/>
      <c r="G33" s="57"/>
      <c r="H33" s="58"/>
      <c r="I33" s="59"/>
    </row>
    <row r="34" spans="2:9" ht="12.5">
      <c r="B34" s="55"/>
      <c r="C34" s="60"/>
      <c r="E34" s="55"/>
      <c r="F34" s="56"/>
      <c r="G34" s="57"/>
      <c r="H34" s="58"/>
      <c r="I34" s="59"/>
    </row>
    <row r="35" spans="2:9" ht="12.5">
      <c r="B35" s="55"/>
      <c r="C35" s="60"/>
      <c r="E35" s="55"/>
      <c r="F35" s="56"/>
      <c r="G35" s="57"/>
      <c r="H35" s="58"/>
      <c r="I35" s="59"/>
    </row>
    <row r="36" spans="2:9" ht="12.5">
      <c r="B36" s="55"/>
      <c r="C36" s="56"/>
      <c r="E36" s="55"/>
      <c r="F36" s="56"/>
      <c r="G36" s="57"/>
      <c r="H36" s="58"/>
      <c r="I36" s="59"/>
    </row>
    <row r="37" spans="2:9" ht="12.5">
      <c r="B37" s="55"/>
      <c r="C37" s="56"/>
      <c r="E37" s="55"/>
      <c r="F37" s="56"/>
      <c r="G37" s="57"/>
      <c r="H37" s="58"/>
      <c r="I37" s="59"/>
    </row>
    <row r="38" spans="2:9" ht="12.5">
      <c r="B38" s="55"/>
      <c r="C38" s="60"/>
      <c r="E38" s="55"/>
      <c r="F38" s="56"/>
      <c r="G38" s="57"/>
      <c r="H38" s="58"/>
      <c r="I38" s="59"/>
    </row>
    <row r="39" spans="2:9" ht="12.5">
      <c r="B39" s="55"/>
      <c r="C39" s="60"/>
      <c r="E39" s="55"/>
      <c r="F39" s="56"/>
      <c r="G39" s="57"/>
      <c r="H39" s="58"/>
      <c r="I39" s="59"/>
    </row>
    <row r="40" spans="2:9" ht="12.5">
      <c r="B40" s="55"/>
      <c r="C40" s="56"/>
      <c r="E40" s="55"/>
      <c r="F40" s="56"/>
      <c r="G40" s="57"/>
      <c r="H40" s="58"/>
      <c r="I40" s="56"/>
    </row>
    <row r="41" spans="2:9" ht="12.5">
      <c r="B41" s="55"/>
      <c r="C41" s="56"/>
      <c r="E41" s="55"/>
      <c r="F41" s="56"/>
      <c r="G41" s="57"/>
      <c r="H41" s="58"/>
      <c r="I41" s="59"/>
    </row>
    <row r="42" spans="2:9" ht="12.5">
      <c r="B42" s="55"/>
      <c r="C42" s="56"/>
      <c r="E42" s="55"/>
      <c r="F42" s="56"/>
      <c r="G42" s="57"/>
      <c r="H42" s="58"/>
      <c r="I42" s="56"/>
    </row>
    <row r="43" spans="2:9" ht="12.5">
      <c r="B43" s="55"/>
      <c r="C43" s="60"/>
      <c r="E43" s="55"/>
      <c r="F43" s="56"/>
      <c r="G43" s="57"/>
      <c r="H43" s="58"/>
      <c r="I43" s="59"/>
    </row>
    <row r="44" spans="2:9" ht="12.5">
      <c r="B44" s="55"/>
      <c r="C44" s="56"/>
      <c r="E44" s="55"/>
      <c r="F44" s="56"/>
      <c r="G44" s="57"/>
      <c r="H44" s="58"/>
      <c r="I44" s="59"/>
    </row>
    <row r="45" spans="2:9" ht="12.5">
      <c r="B45" s="55"/>
      <c r="C45" s="60"/>
      <c r="E45" s="55"/>
      <c r="F45" s="56"/>
      <c r="G45" s="57"/>
      <c r="H45" s="58"/>
      <c r="I45" s="59"/>
    </row>
    <row r="46" spans="2:9" ht="12.5">
      <c r="B46" s="55"/>
      <c r="C46" s="60"/>
      <c r="E46" s="55"/>
      <c r="F46" s="56"/>
      <c r="G46" s="57"/>
      <c r="H46" s="58"/>
      <c r="I46" s="59"/>
    </row>
    <row r="47" spans="2:9" ht="12.5">
      <c r="B47" s="55"/>
      <c r="C47" s="56"/>
      <c r="E47" s="55"/>
      <c r="F47" s="56"/>
      <c r="G47" s="57"/>
      <c r="H47" s="58"/>
      <c r="I47" s="59"/>
    </row>
    <row r="48" spans="2:9" ht="12.5">
      <c r="B48" s="55"/>
      <c r="C48" s="60"/>
      <c r="E48" s="55"/>
      <c r="F48" s="56"/>
      <c r="G48" s="57"/>
      <c r="H48" s="58"/>
      <c r="I48" s="59"/>
    </row>
    <row r="49" spans="2:9" ht="12.5">
      <c r="B49" s="55"/>
      <c r="C49" s="56"/>
      <c r="E49" s="55"/>
      <c r="F49" s="56"/>
      <c r="G49" s="57"/>
      <c r="H49" s="58"/>
      <c r="I49" s="59"/>
    </row>
    <row r="50" spans="2:9" ht="12.5">
      <c r="B50" s="55"/>
      <c r="C50" s="60"/>
      <c r="E50" s="55"/>
      <c r="F50" s="56"/>
      <c r="G50" s="57"/>
      <c r="H50" s="58"/>
      <c r="I50" s="59"/>
    </row>
    <row r="51" spans="2:9" ht="12.5">
      <c r="B51" s="55"/>
      <c r="C51" s="60"/>
      <c r="E51" s="55"/>
      <c r="F51" s="56"/>
      <c r="G51" s="57"/>
      <c r="H51" s="58"/>
      <c r="I51" s="59"/>
    </row>
    <row r="52" spans="2:9" ht="12.5">
      <c r="B52" s="55"/>
      <c r="C52" s="60"/>
      <c r="E52" s="55"/>
      <c r="F52" s="56"/>
      <c r="G52" s="57"/>
      <c r="H52" s="58"/>
      <c r="I52" s="59"/>
    </row>
    <row r="53" spans="2:9" ht="12.5">
      <c r="B53" s="55"/>
      <c r="C53" s="56"/>
      <c r="E53" s="55"/>
      <c r="F53" s="56"/>
      <c r="G53" s="57"/>
      <c r="H53" s="58"/>
      <c r="I53" s="56"/>
    </row>
    <row r="54" spans="2:9" ht="12.5">
      <c r="B54" s="61"/>
      <c r="C54" s="56"/>
      <c r="E54" s="55"/>
      <c r="F54" s="56"/>
      <c r="G54" s="57"/>
      <c r="H54" s="58"/>
      <c r="I54" s="56"/>
    </row>
    <row r="55" spans="2:9" ht="12.5">
      <c r="B55" s="55"/>
      <c r="C55" s="60"/>
      <c r="E55" s="55"/>
      <c r="F55" s="56"/>
      <c r="G55" s="57"/>
      <c r="H55" s="58"/>
      <c r="I55" s="59"/>
    </row>
    <row r="56" spans="2:9" ht="12.5">
      <c r="B56" s="55"/>
      <c r="C56" s="56"/>
      <c r="E56" s="55"/>
      <c r="F56" s="56"/>
      <c r="G56" s="57"/>
      <c r="H56" s="58"/>
      <c r="I56" s="59"/>
    </row>
    <row r="57" spans="2:9" ht="12.5">
      <c r="B57" s="55"/>
      <c r="C57" s="56"/>
      <c r="E57" s="55"/>
      <c r="F57" s="56"/>
      <c r="G57" s="57"/>
      <c r="H57" s="58"/>
      <c r="I57" s="59"/>
    </row>
    <row r="58" spans="2:9" ht="12.5">
      <c r="B58" s="55"/>
      <c r="C58" s="56"/>
      <c r="E58" s="55"/>
      <c r="F58" s="56"/>
      <c r="G58" s="57"/>
      <c r="H58" s="58"/>
      <c r="I58" s="59"/>
    </row>
    <row r="59" spans="2:9" ht="12.5">
      <c r="B59" s="55"/>
      <c r="C59" s="60"/>
      <c r="E59" s="55"/>
      <c r="F59" s="56"/>
      <c r="G59" s="57"/>
      <c r="H59" s="58"/>
      <c r="I59" s="59"/>
    </row>
    <row r="60" spans="2:9" ht="12.5">
      <c r="B60" s="55"/>
      <c r="C60" s="60"/>
      <c r="E60" s="55"/>
      <c r="F60" s="56"/>
      <c r="G60" s="57"/>
      <c r="H60" s="58"/>
      <c r="I60" s="59"/>
    </row>
    <row r="61" spans="2:9" ht="12.5">
      <c r="B61" s="55"/>
      <c r="C61" s="60"/>
      <c r="E61" s="61"/>
      <c r="F61" s="56"/>
      <c r="G61" s="57"/>
      <c r="H61" s="58"/>
      <c r="I61" s="59"/>
    </row>
    <row r="62" spans="2:9" ht="12.5">
      <c r="B62" s="55"/>
      <c r="C62" s="56"/>
      <c r="E62" s="55"/>
      <c r="F62" s="56"/>
      <c r="G62" s="57"/>
      <c r="H62" s="58"/>
      <c r="I62" s="59"/>
    </row>
    <row r="63" spans="2:9" ht="12.5">
      <c r="B63" s="55"/>
      <c r="C63" s="60"/>
      <c r="E63" s="55"/>
      <c r="F63" s="56"/>
      <c r="G63" s="57"/>
      <c r="H63" s="58"/>
      <c r="I63" s="59"/>
    </row>
    <row r="64" spans="2:9" ht="12.5">
      <c r="B64" s="55"/>
      <c r="C64" s="60"/>
      <c r="E64" s="55"/>
      <c r="F64" s="56"/>
      <c r="G64" s="57"/>
      <c r="H64" s="58"/>
      <c r="I64" s="59"/>
    </row>
    <row r="65" spans="2:9" ht="12.5">
      <c r="B65" s="55"/>
      <c r="C65" s="56"/>
      <c r="E65" s="55"/>
      <c r="F65" s="56"/>
      <c r="G65" s="57"/>
      <c r="H65" s="58"/>
      <c r="I65" s="59"/>
    </row>
    <row r="66" spans="2:9" ht="12.5">
      <c r="B66" s="55"/>
      <c r="C66" s="60"/>
      <c r="E66" s="55"/>
      <c r="F66" s="56"/>
      <c r="G66" s="57"/>
      <c r="H66" s="58"/>
      <c r="I66" s="59"/>
    </row>
    <row r="67" spans="2:9" ht="12.5">
      <c r="B67" s="55"/>
      <c r="C67" s="56"/>
      <c r="E67" s="55"/>
      <c r="F67" s="56"/>
      <c r="G67" s="57"/>
      <c r="H67" s="58"/>
      <c r="I67" s="59"/>
    </row>
    <row r="68" spans="2:9" ht="12.5">
      <c r="B68" s="55"/>
      <c r="C68" s="60"/>
      <c r="E68" s="55"/>
      <c r="F68" s="56"/>
      <c r="G68" s="57"/>
      <c r="H68" s="58"/>
      <c r="I68" s="59"/>
    </row>
    <row r="69" spans="2:9" ht="12.5">
      <c r="B69" s="55"/>
      <c r="C69" s="56"/>
      <c r="E69" s="55"/>
      <c r="F69" s="56"/>
      <c r="G69" s="57"/>
      <c r="H69" s="58"/>
      <c r="I69" s="59"/>
    </row>
    <row r="70" spans="2:9" ht="12.5">
      <c r="B70" s="55"/>
      <c r="C70" s="56"/>
      <c r="E70" s="55"/>
      <c r="F70" s="56"/>
      <c r="G70" s="57"/>
      <c r="H70" s="58"/>
      <c r="I70" s="59"/>
    </row>
    <row r="71" spans="2:9" ht="12.5">
      <c r="B71" s="55"/>
      <c r="C71" s="56"/>
      <c r="E71" s="55"/>
      <c r="F71" s="56"/>
      <c r="G71" s="57"/>
      <c r="H71" s="58"/>
      <c r="I71" s="59"/>
    </row>
    <row r="72" spans="2:9" ht="12.5">
      <c r="B72" s="55"/>
      <c r="C72" s="56"/>
      <c r="E72" s="55"/>
      <c r="F72" s="56"/>
      <c r="G72" s="57"/>
      <c r="H72" s="58"/>
      <c r="I72" s="59"/>
    </row>
    <row r="73" spans="2:9" ht="12.5">
      <c r="B73" s="55"/>
      <c r="C73" s="60"/>
      <c r="E73" s="55"/>
      <c r="F73" s="56"/>
      <c r="G73" s="57"/>
      <c r="H73" s="58"/>
      <c r="I73" s="59"/>
    </row>
    <row r="74" spans="2:9" ht="12.5">
      <c r="B74" s="55"/>
      <c r="C74" s="60"/>
      <c r="E74" s="55"/>
      <c r="F74" s="56"/>
      <c r="G74" s="57"/>
      <c r="H74" s="58"/>
      <c r="I74" s="59"/>
    </row>
    <row r="75" spans="2:9" ht="12.5">
      <c r="B75" s="55"/>
      <c r="C75" s="56"/>
      <c r="E75" s="55"/>
      <c r="F75" s="56"/>
      <c r="G75" s="57"/>
      <c r="H75" s="58"/>
      <c r="I75" s="59"/>
    </row>
    <row r="76" spans="2:9" ht="12.5">
      <c r="B76" s="55"/>
      <c r="C76" s="60"/>
      <c r="E76" s="55"/>
      <c r="F76" s="56"/>
      <c r="G76" s="57"/>
      <c r="H76" s="58"/>
      <c r="I76" s="59"/>
    </row>
    <row r="77" spans="2:9" ht="12.5">
      <c r="B77" s="55"/>
      <c r="C77" s="60"/>
      <c r="E77" s="55"/>
      <c r="F77" s="56"/>
      <c r="G77" s="57"/>
      <c r="H77" s="58"/>
      <c r="I77" s="59"/>
    </row>
    <row r="78" spans="2:9" ht="12.5">
      <c r="B78" s="55"/>
      <c r="C78" s="56"/>
      <c r="E78" s="55"/>
      <c r="F78" s="56"/>
      <c r="G78" s="57"/>
      <c r="H78" s="58"/>
      <c r="I78" s="56"/>
    </row>
    <row r="79" spans="2:9" ht="12.5">
      <c r="B79" s="55"/>
      <c r="C79" s="56"/>
      <c r="E79" s="55"/>
      <c r="F79" s="56"/>
      <c r="G79" s="57"/>
      <c r="H79" s="58"/>
      <c r="I79" s="56"/>
    </row>
    <row r="80" spans="2:9" ht="12.5">
      <c r="B80" s="55"/>
      <c r="C80" s="56"/>
      <c r="E80" s="55"/>
      <c r="F80" s="56"/>
      <c r="G80" s="57"/>
      <c r="H80" s="58"/>
      <c r="I80" s="59"/>
    </row>
    <row r="81" spans="2:9" ht="12.5">
      <c r="B81" s="55"/>
      <c r="C81" s="60"/>
      <c r="E81" s="55"/>
      <c r="F81" s="56"/>
      <c r="G81" s="57"/>
      <c r="H81" s="58"/>
      <c r="I81" s="59"/>
    </row>
    <row r="82" spans="2:9" ht="12.5">
      <c r="B82" s="55"/>
      <c r="C82" s="60"/>
      <c r="E82" s="55"/>
      <c r="F82" s="56"/>
      <c r="G82" s="57"/>
      <c r="H82" s="58"/>
      <c r="I82" s="59"/>
    </row>
    <row r="83" spans="2:9" ht="12.5">
      <c r="B83" s="55"/>
      <c r="C83" s="60"/>
      <c r="E83" s="55"/>
      <c r="F83" s="56"/>
      <c r="G83" s="57"/>
      <c r="H83" s="58"/>
      <c r="I83" s="59"/>
    </row>
    <row r="84" spans="2:9" ht="12.5">
      <c r="B84" s="55"/>
      <c r="C84" s="56"/>
      <c r="E84" s="55"/>
      <c r="F84" s="56"/>
      <c r="G84" s="57"/>
      <c r="H84" s="58"/>
      <c r="I84" s="59"/>
    </row>
    <row r="85" spans="2:9" ht="12.5">
      <c r="B85" s="55"/>
      <c r="C85" s="56"/>
      <c r="E85" s="55"/>
      <c r="F85" s="56"/>
      <c r="G85" s="57"/>
      <c r="H85" s="58"/>
      <c r="I85" s="59"/>
    </row>
    <row r="86" spans="2:9" ht="12.5">
      <c r="B86" s="55"/>
      <c r="C86" s="60"/>
      <c r="E86" s="55"/>
      <c r="F86" s="56"/>
      <c r="G86" s="57"/>
      <c r="H86" s="58"/>
      <c r="I86" s="59"/>
    </row>
    <row r="87" spans="2:9" ht="12.5">
      <c r="B87" s="55"/>
      <c r="C87" s="60"/>
      <c r="E87" s="55"/>
      <c r="F87" s="56"/>
      <c r="G87" s="57"/>
      <c r="H87" s="58"/>
      <c r="I87" s="59"/>
    </row>
    <row r="88" spans="2:9" ht="12.5">
      <c r="B88" s="55"/>
      <c r="C88" s="60"/>
      <c r="E88" s="55"/>
      <c r="F88" s="56"/>
      <c r="G88" s="57"/>
      <c r="H88" s="58"/>
      <c r="I88" s="59"/>
    </row>
    <row r="89" spans="2:9" ht="12.5">
      <c r="B89" s="55"/>
      <c r="C89" s="56"/>
      <c r="E89" s="55"/>
      <c r="F89" s="56"/>
      <c r="G89" s="57"/>
      <c r="H89" s="58"/>
      <c r="I89" s="59"/>
    </row>
    <row r="90" spans="2:9" ht="12.5">
      <c r="B90" s="55"/>
      <c r="C90" s="56"/>
      <c r="E90" s="55"/>
      <c r="F90" s="56"/>
      <c r="G90" s="57"/>
      <c r="H90" s="58"/>
      <c r="I90" s="59"/>
    </row>
    <row r="91" spans="2:9" ht="12.5">
      <c r="B91" s="55"/>
      <c r="C91" s="60"/>
      <c r="E91" s="55"/>
      <c r="F91" s="56"/>
      <c r="G91" s="57"/>
      <c r="H91" s="58"/>
      <c r="I91" s="59"/>
    </row>
    <row r="92" spans="2:9" ht="12.5">
      <c r="B92" s="55"/>
      <c r="C92" s="60"/>
      <c r="E92" s="55"/>
      <c r="F92" s="56"/>
      <c r="G92" s="57"/>
      <c r="H92" s="58"/>
      <c r="I92" s="59"/>
    </row>
    <row r="93" spans="2:9" ht="12.5">
      <c r="B93" s="55"/>
      <c r="C93" s="56"/>
      <c r="E93" s="55"/>
      <c r="F93" s="56"/>
      <c r="G93" s="57"/>
      <c r="H93" s="58"/>
      <c r="I93" s="59"/>
    </row>
    <row r="94" spans="2:9" ht="12.5">
      <c r="B94" s="55"/>
      <c r="C94" s="56"/>
      <c r="E94" s="55"/>
      <c r="F94" s="56"/>
      <c r="G94" s="57"/>
      <c r="H94" s="58"/>
      <c r="I94" s="59"/>
    </row>
    <row r="95" spans="2:9" ht="12.5">
      <c r="B95" s="55"/>
      <c r="C95" s="56"/>
      <c r="E95" s="55"/>
      <c r="F95" s="56"/>
      <c r="G95" s="57"/>
      <c r="H95" s="58"/>
      <c r="I95" s="59"/>
    </row>
    <row r="96" spans="2:9" ht="12.5">
      <c r="B96" s="55"/>
      <c r="C96" s="60"/>
      <c r="E96" s="55"/>
      <c r="F96" s="56"/>
      <c r="G96" s="57"/>
      <c r="H96" s="58"/>
      <c r="I96" s="59"/>
    </row>
    <row r="97" spans="2:9" ht="12.5">
      <c r="B97" s="55"/>
      <c r="C97" s="56"/>
      <c r="E97" s="55"/>
      <c r="F97" s="56"/>
      <c r="G97" s="57"/>
      <c r="H97" s="58"/>
      <c r="I97" s="59"/>
    </row>
    <row r="98" spans="2:9" ht="12.5">
      <c r="B98" s="55"/>
      <c r="C98" s="56"/>
      <c r="E98" s="55"/>
      <c r="F98" s="56"/>
      <c r="G98" s="57"/>
      <c r="H98" s="58"/>
      <c r="I98" s="59"/>
    </row>
    <row r="99" spans="2:9" ht="12.5">
      <c r="B99" s="55"/>
      <c r="C99" s="60"/>
      <c r="E99" s="55"/>
      <c r="F99" s="56"/>
      <c r="G99" s="57"/>
      <c r="H99" s="58"/>
      <c r="I99" s="59"/>
    </row>
    <row r="100" spans="2:9" ht="12.5">
      <c r="B100" s="55"/>
      <c r="C100" s="56"/>
      <c r="E100" s="55"/>
      <c r="F100" s="56"/>
      <c r="G100" s="57"/>
      <c r="H100" s="58"/>
      <c r="I100" s="59"/>
    </row>
    <row r="101" spans="2:9" ht="12.5">
      <c r="B101" s="55"/>
      <c r="C101" s="60"/>
      <c r="E101" s="55"/>
      <c r="F101" s="56"/>
      <c r="G101" s="57"/>
      <c r="H101" s="58"/>
      <c r="I101" s="59"/>
    </row>
    <row r="102" spans="2:9" ht="12.5">
      <c r="B102" s="55"/>
      <c r="C102" s="56"/>
      <c r="E102" s="55"/>
      <c r="F102" s="56"/>
      <c r="G102" s="57"/>
      <c r="H102" s="58"/>
      <c r="I102" s="59"/>
    </row>
    <row r="103" spans="2:9" ht="12.5">
      <c r="B103" s="55"/>
      <c r="C103" s="56"/>
      <c r="E103" s="55"/>
      <c r="F103" s="56"/>
      <c r="G103" s="57"/>
      <c r="H103" s="58"/>
      <c r="I103" s="59"/>
    </row>
    <row r="104" spans="2:9" ht="12.5">
      <c r="B104" s="55"/>
      <c r="C104" s="60"/>
      <c r="E104" s="55"/>
      <c r="F104" s="56"/>
      <c r="G104" s="57"/>
      <c r="H104" s="58"/>
      <c r="I104" s="59"/>
    </row>
    <row r="105" spans="2:9" ht="12.5">
      <c r="B105" s="55"/>
      <c r="C105" s="56"/>
      <c r="E105" s="55"/>
      <c r="F105" s="56"/>
      <c r="G105" s="57"/>
      <c r="H105" s="58"/>
      <c r="I105" s="59"/>
    </row>
    <row r="106" spans="2:9" ht="12.5">
      <c r="B106" s="55"/>
      <c r="C106" s="56"/>
      <c r="E106" s="55"/>
      <c r="F106" s="56"/>
      <c r="G106" s="57"/>
      <c r="H106" s="58"/>
      <c r="I106" s="59"/>
    </row>
    <row r="107" spans="2:9" ht="12.5">
      <c r="B107" s="55"/>
      <c r="C107" s="60"/>
      <c r="E107" s="55"/>
      <c r="F107" s="56"/>
      <c r="G107" s="57"/>
      <c r="H107" s="58"/>
      <c r="I107" s="59"/>
    </row>
    <row r="108" spans="2:9" ht="12.5">
      <c r="B108" s="55"/>
      <c r="C108" s="56"/>
      <c r="E108" s="55"/>
      <c r="F108" s="56"/>
      <c r="G108" s="57"/>
      <c r="H108" s="58"/>
      <c r="I108" s="59"/>
    </row>
    <row r="109" spans="2:9" ht="12.5">
      <c r="B109" s="55"/>
      <c r="C109" s="60"/>
      <c r="E109" s="55"/>
      <c r="F109" s="56"/>
      <c r="G109" s="57"/>
      <c r="H109" s="58"/>
      <c r="I109" s="59"/>
    </row>
    <row r="110" spans="2:9" ht="12.5">
      <c r="B110" s="55"/>
      <c r="C110" s="56"/>
      <c r="E110" s="55"/>
      <c r="F110" s="56"/>
      <c r="G110" s="57"/>
      <c r="H110" s="58"/>
      <c r="I110" s="56"/>
    </row>
    <row r="111" spans="2:9" ht="12.5">
      <c r="B111" s="55"/>
      <c r="C111" s="56"/>
      <c r="E111" s="55"/>
      <c r="F111" s="56"/>
      <c r="G111" s="57"/>
      <c r="H111" s="58"/>
      <c r="I111" s="59"/>
    </row>
    <row r="112" spans="2:9" ht="12.5">
      <c r="B112" s="55"/>
      <c r="C112" s="56"/>
      <c r="E112" s="55"/>
      <c r="F112" s="56"/>
      <c r="G112" s="57"/>
      <c r="H112" s="58"/>
      <c r="I112" s="59"/>
    </row>
    <row r="113" spans="2:9" ht="12.5">
      <c r="B113" s="55"/>
      <c r="C113" s="60"/>
      <c r="E113" s="55"/>
      <c r="F113" s="56"/>
      <c r="G113" s="57"/>
      <c r="H113" s="58"/>
      <c r="I113" s="59"/>
    </row>
    <row r="114" spans="2:9" ht="12.5">
      <c r="B114" s="55"/>
      <c r="C114" s="56"/>
      <c r="E114" s="55"/>
      <c r="F114" s="56"/>
      <c r="G114" s="57"/>
      <c r="H114" s="58"/>
      <c r="I114" s="59"/>
    </row>
    <row r="115" spans="2:9" ht="12.5">
      <c r="B115" s="55"/>
      <c r="C115" s="56"/>
      <c r="E115" s="55"/>
      <c r="F115" s="56"/>
      <c r="G115" s="57"/>
      <c r="H115" s="58"/>
      <c r="I115" s="56"/>
    </row>
    <row r="116" spans="2:9" ht="12.5">
      <c r="B116" s="55"/>
      <c r="C116" s="60"/>
      <c r="E116" s="55"/>
      <c r="F116" s="56"/>
      <c r="G116" s="57"/>
      <c r="H116" s="58"/>
      <c r="I116" s="59"/>
    </row>
    <row r="117" spans="2:9" ht="12.5">
      <c r="B117" s="55"/>
      <c r="C117" s="56"/>
      <c r="E117" s="55"/>
      <c r="F117" s="56"/>
      <c r="G117" s="57"/>
      <c r="H117" s="58"/>
      <c r="I117" s="59"/>
    </row>
    <row r="118" spans="2:9" ht="12.5">
      <c r="B118" s="55"/>
      <c r="C118" s="56"/>
      <c r="E118" s="55"/>
      <c r="F118" s="56"/>
      <c r="G118" s="57"/>
      <c r="H118" s="58"/>
      <c r="I118" s="59"/>
    </row>
    <row r="119" spans="2:9" ht="12.5">
      <c r="B119" s="55"/>
      <c r="C119" s="56"/>
      <c r="E119" s="55"/>
      <c r="F119" s="56"/>
      <c r="G119" s="57"/>
      <c r="H119" s="58"/>
      <c r="I119" s="56"/>
    </row>
    <row r="120" spans="2:9" ht="12.5">
      <c r="B120" s="55"/>
      <c r="C120" s="60"/>
      <c r="E120" s="55"/>
      <c r="F120" s="56"/>
      <c r="G120" s="57"/>
      <c r="H120" s="58"/>
      <c r="I120" s="59"/>
    </row>
    <row r="121" spans="2:9" ht="12.5">
      <c r="B121" s="55"/>
      <c r="C121" s="60"/>
      <c r="E121" s="55"/>
      <c r="F121" s="56"/>
      <c r="G121" s="57"/>
      <c r="H121" s="58"/>
      <c r="I121" s="59"/>
    </row>
    <row r="122" spans="2:9" ht="12.5">
      <c r="B122" s="55"/>
      <c r="C122" s="60"/>
      <c r="E122" s="55"/>
      <c r="F122" s="56"/>
      <c r="G122" s="57"/>
      <c r="H122" s="58"/>
      <c r="I122" s="59"/>
    </row>
    <row r="123" spans="2:9" ht="12.5">
      <c r="B123" s="55"/>
      <c r="C123" s="56"/>
      <c r="E123" s="55"/>
      <c r="F123" s="56"/>
      <c r="G123" s="57"/>
      <c r="H123" s="58"/>
      <c r="I123" s="59"/>
    </row>
    <row r="124" spans="2:9" ht="12.5">
      <c r="B124" s="55"/>
      <c r="C124" s="60"/>
      <c r="E124" s="55"/>
      <c r="F124" s="56"/>
      <c r="G124" s="57"/>
      <c r="H124" s="58"/>
      <c r="I124" s="59"/>
    </row>
    <row r="125" spans="2:9" ht="12.5">
      <c r="B125" s="55"/>
      <c r="C125" s="56"/>
      <c r="E125" s="55"/>
      <c r="F125" s="56"/>
      <c r="G125" s="57"/>
      <c r="H125" s="58"/>
      <c r="I125" s="59"/>
    </row>
    <row r="126" spans="2:9" ht="12.5">
      <c r="B126" s="55"/>
      <c r="C126" s="56"/>
      <c r="E126" s="55"/>
      <c r="F126" s="56"/>
      <c r="G126" s="57"/>
      <c r="H126" s="58"/>
      <c r="I126" s="59"/>
    </row>
    <row r="127" spans="2:9" ht="12.5">
      <c r="B127" s="55"/>
      <c r="C127" s="56"/>
      <c r="E127" s="55"/>
      <c r="F127" s="56"/>
      <c r="G127" s="57"/>
      <c r="H127" s="58"/>
      <c r="I127" s="59"/>
    </row>
    <row r="128" spans="2:9" ht="12.5">
      <c r="B128" s="55"/>
      <c r="C128" s="60"/>
      <c r="E128" s="55"/>
      <c r="F128" s="56"/>
      <c r="G128" s="57"/>
      <c r="H128" s="58"/>
      <c r="I128" s="59"/>
    </row>
    <row r="129" spans="2:9" ht="12.5">
      <c r="B129" s="55"/>
      <c r="C129" s="56"/>
      <c r="E129" s="55"/>
      <c r="F129" s="56"/>
      <c r="G129" s="57"/>
      <c r="H129" s="58"/>
      <c r="I129" s="59"/>
    </row>
    <row r="130" spans="2:9" ht="12.5">
      <c r="B130" s="55"/>
      <c r="C130" s="56"/>
      <c r="E130" s="55"/>
      <c r="F130" s="56"/>
      <c r="G130" s="57"/>
      <c r="H130" s="58"/>
      <c r="I130" s="59"/>
    </row>
    <row r="131" spans="2:9" ht="12.5">
      <c r="B131" s="55"/>
      <c r="C131" s="60"/>
      <c r="E131" s="55"/>
      <c r="F131" s="56"/>
      <c r="G131" s="57"/>
      <c r="H131" s="58"/>
      <c r="I131" s="59"/>
    </row>
    <row r="132" spans="2:9" ht="12.5">
      <c r="B132" s="55"/>
      <c r="C132" s="56"/>
      <c r="E132" s="55"/>
      <c r="F132" s="56"/>
      <c r="G132" s="57"/>
      <c r="H132" s="58"/>
      <c r="I132" s="59"/>
    </row>
    <row r="133" spans="2:9" ht="12.5">
      <c r="B133" s="55"/>
      <c r="C133" s="60"/>
      <c r="E133" s="55"/>
      <c r="F133" s="56"/>
      <c r="G133" s="57"/>
      <c r="H133" s="58"/>
      <c r="I133" s="59"/>
    </row>
    <row r="134" spans="2:9" ht="12.5">
      <c r="B134" s="55"/>
      <c r="C134" s="60"/>
      <c r="E134" s="55"/>
      <c r="F134" s="56"/>
      <c r="G134" s="57"/>
      <c r="H134" s="58"/>
      <c r="I134" s="59"/>
    </row>
    <row r="135" spans="2:9" ht="12.5">
      <c r="B135" s="55"/>
      <c r="C135" s="56"/>
      <c r="E135" s="55"/>
      <c r="F135" s="56"/>
      <c r="G135" s="57"/>
      <c r="H135" s="58"/>
      <c r="I135" s="59"/>
    </row>
    <row r="136" spans="2:9" ht="12.5">
      <c r="B136" s="55"/>
      <c r="C136" s="56"/>
      <c r="E136" s="55"/>
      <c r="F136" s="56"/>
      <c r="G136" s="57"/>
      <c r="H136" s="58"/>
      <c r="I136" s="59"/>
    </row>
    <row r="137" spans="2:9" ht="12.5">
      <c r="B137" s="55"/>
      <c r="C137" s="56"/>
      <c r="E137" s="55"/>
      <c r="F137" s="56"/>
      <c r="G137" s="57"/>
      <c r="H137" s="58"/>
      <c r="I137" s="56"/>
    </row>
    <row r="138" spans="2:9" ht="12.5">
      <c r="B138" s="55"/>
      <c r="C138" s="60"/>
      <c r="E138" s="55"/>
      <c r="F138" s="56"/>
      <c r="G138" s="57"/>
      <c r="H138" s="58"/>
      <c r="I138" s="59"/>
    </row>
    <row r="139" spans="2:9" ht="12.5">
      <c r="B139" s="55"/>
      <c r="C139" s="60"/>
      <c r="E139" s="55"/>
      <c r="F139" s="56"/>
      <c r="G139" s="57"/>
      <c r="H139" s="58"/>
      <c r="I139" s="59"/>
    </row>
    <row r="140" spans="2:9" ht="12.5">
      <c r="B140" s="55"/>
      <c r="C140" s="60"/>
      <c r="E140" s="55"/>
      <c r="F140" s="56"/>
      <c r="G140" s="57"/>
      <c r="H140" s="58"/>
      <c r="I140" s="59"/>
    </row>
    <row r="141" spans="2:9" ht="12.5">
      <c r="B141" s="55"/>
      <c r="C141" s="60"/>
      <c r="E141" s="55"/>
      <c r="F141" s="56"/>
      <c r="G141" s="57"/>
      <c r="H141" s="58"/>
      <c r="I141" s="59"/>
    </row>
    <row r="142" spans="2:9" ht="12.5">
      <c r="B142" s="55"/>
      <c r="C142" s="60"/>
      <c r="E142" s="55"/>
      <c r="F142" s="56"/>
      <c r="G142" s="57"/>
      <c r="H142" s="58"/>
      <c r="I142" s="59"/>
    </row>
    <row r="143" spans="2:9" ht="12.5">
      <c r="B143" s="55"/>
      <c r="C143" s="60"/>
      <c r="E143" s="55"/>
      <c r="F143" s="56"/>
      <c r="G143" s="57"/>
      <c r="H143" s="58"/>
      <c r="I143" s="59"/>
    </row>
    <row r="144" spans="2:9" ht="12.5">
      <c r="B144" s="55"/>
      <c r="C144" s="56"/>
      <c r="E144" s="55"/>
      <c r="F144" s="56"/>
      <c r="G144" s="57"/>
      <c r="H144" s="58"/>
      <c r="I144" s="59"/>
    </row>
    <row r="145" spans="2:9" ht="12.5">
      <c r="B145" s="55"/>
      <c r="C145" s="56"/>
      <c r="E145" s="55"/>
      <c r="F145" s="56"/>
      <c r="G145" s="57"/>
      <c r="H145" s="58"/>
      <c r="I145" s="59"/>
    </row>
    <row r="146" spans="2:9" ht="12.5">
      <c r="B146" s="55"/>
      <c r="C146" s="56"/>
      <c r="E146" s="55"/>
      <c r="F146" s="56"/>
      <c r="G146" s="57"/>
      <c r="H146" s="58"/>
      <c r="I146" s="59"/>
    </row>
    <row r="147" spans="2:9" ht="12.5">
      <c r="B147" s="55"/>
      <c r="C147" s="60"/>
      <c r="E147" s="55"/>
      <c r="F147" s="56"/>
      <c r="G147" s="57"/>
      <c r="H147" s="58"/>
      <c r="I147" s="59"/>
    </row>
    <row r="148" spans="2:9" ht="12.5">
      <c r="B148" s="55"/>
      <c r="C148" s="60"/>
      <c r="E148" s="55"/>
      <c r="F148" s="56"/>
      <c r="G148" s="57"/>
      <c r="H148" s="58"/>
      <c r="I148" s="59"/>
    </row>
    <row r="149" spans="2:9" ht="12.5">
      <c r="B149" s="55"/>
      <c r="C149" s="60"/>
      <c r="E149" s="55"/>
      <c r="F149" s="56"/>
      <c r="G149" s="57"/>
      <c r="H149" s="58"/>
      <c r="I149" s="59"/>
    </row>
    <row r="150" spans="2:9" ht="12.5">
      <c r="B150" s="55"/>
      <c r="C150" s="60"/>
      <c r="E150" s="55"/>
      <c r="F150" s="56"/>
      <c r="G150" s="57"/>
      <c r="H150" s="58"/>
      <c r="I150" s="59"/>
    </row>
    <row r="151" spans="2:9" ht="12.5">
      <c r="B151" s="55"/>
      <c r="C151" s="56"/>
      <c r="E151" s="55"/>
      <c r="F151" s="56"/>
      <c r="G151" s="57"/>
      <c r="H151" s="58"/>
      <c r="I151" s="59"/>
    </row>
    <row r="152" spans="2:9" ht="12.5">
      <c r="B152" s="55"/>
      <c r="C152" s="56"/>
      <c r="E152" s="55"/>
      <c r="F152" s="56"/>
      <c r="G152" s="57"/>
      <c r="H152" s="58"/>
      <c r="I152" s="56"/>
    </row>
    <row r="153" spans="2:9" ht="12.5">
      <c r="B153" s="55"/>
      <c r="C153" s="56"/>
      <c r="E153" s="55"/>
      <c r="F153" s="56"/>
      <c r="G153" s="57"/>
      <c r="H153" s="58"/>
      <c r="I153" s="59"/>
    </row>
    <row r="154" spans="2:9" ht="12.5">
      <c r="B154" s="55"/>
      <c r="C154" s="56"/>
      <c r="E154" s="55"/>
      <c r="F154" s="56"/>
      <c r="G154" s="57"/>
      <c r="H154" s="58"/>
      <c r="I154" s="59"/>
    </row>
    <row r="155" spans="2:9" ht="12.5">
      <c r="B155" s="55"/>
      <c r="C155" s="56"/>
      <c r="E155" s="55"/>
      <c r="F155" s="56"/>
      <c r="G155" s="57"/>
      <c r="H155" s="58"/>
      <c r="I155" s="59"/>
    </row>
    <row r="156" spans="2:9" ht="12.5">
      <c r="B156" s="55"/>
      <c r="C156" s="60"/>
      <c r="E156" s="55"/>
      <c r="F156" s="56"/>
      <c r="G156" s="57"/>
      <c r="H156" s="58"/>
      <c r="I156" s="59"/>
    </row>
    <row r="157" spans="2:9" ht="12.5">
      <c r="B157" s="55"/>
      <c r="C157" s="56"/>
      <c r="E157" s="55"/>
      <c r="F157" s="56"/>
      <c r="G157" s="57"/>
      <c r="H157" s="58"/>
      <c r="I157" s="59"/>
    </row>
    <row r="158" spans="2:9" ht="12.5">
      <c r="B158" s="55"/>
      <c r="C158" s="60"/>
      <c r="E158" s="55"/>
      <c r="F158" s="56"/>
      <c r="G158" s="57"/>
      <c r="H158" s="58"/>
      <c r="I158" s="59"/>
    </row>
    <row r="159" spans="2:9" ht="12.5">
      <c r="B159" s="55"/>
      <c r="C159" s="56"/>
      <c r="E159" s="55"/>
      <c r="F159" s="56"/>
      <c r="G159" s="57"/>
      <c r="H159" s="58"/>
      <c r="I159" s="59"/>
    </row>
    <row r="160" spans="2:9" ht="12.5">
      <c r="B160" s="55"/>
      <c r="C160" s="60"/>
      <c r="E160" s="55"/>
      <c r="F160" s="56"/>
      <c r="G160" s="57"/>
      <c r="H160" s="58"/>
      <c r="I160" s="59"/>
    </row>
    <row r="161" spans="2:9" ht="12.5">
      <c r="B161" s="55"/>
      <c r="C161" s="56"/>
      <c r="E161" s="55"/>
      <c r="F161" s="56"/>
      <c r="G161" s="57"/>
      <c r="H161" s="58"/>
      <c r="I161" s="59"/>
    </row>
    <row r="162" spans="2:9" ht="12.5">
      <c r="B162" s="55"/>
      <c r="C162" s="60"/>
      <c r="E162" s="55"/>
      <c r="F162" s="56"/>
      <c r="G162" s="57"/>
      <c r="H162" s="58"/>
      <c r="I162" s="59"/>
    </row>
    <row r="163" spans="2:9" ht="12.5">
      <c r="B163" s="55"/>
      <c r="C163" s="56"/>
      <c r="E163" s="55"/>
      <c r="F163" s="56"/>
      <c r="G163" s="57"/>
      <c r="H163" s="58"/>
      <c r="I163" s="59"/>
    </row>
    <row r="164" spans="2:9" ht="12.5">
      <c r="B164" s="55"/>
      <c r="C164" s="56"/>
      <c r="E164" s="55"/>
      <c r="F164" s="56"/>
      <c r="G164" s="57"/>
      <c r="H164" s="58"/>
      <c r="I164" s="59"/>
    </row>
    <row r="165" spans="2:9" ht="12.5">
      <c r="B165" s="55"/>
      <c r="C165" s="56"/>
      <c r="E165" s="55"/>
      <c r="F165" s="56"/>
      <c r="G165" s="57"/>
      <c r="H165" s="58"/>
      <c r="I165" s="59"/>
    </row>
    <row r="166" spans="2:9" ht="12.5">
      <c r="B166" s="55"/>
      <c r="C166" s="56"/>
      <c r="E166" s="55"/>
      <c r="F166" s="56"/>
      <c r="G166" s="57"/>
      <c r="H166" s="58"/>
      <c r="I166" s="56"/>
    </row>
    <row r="167" spans="2:9" ht="12.5">
      <c r="B167" s="55"/>
      <c r="C167" s="60"/>
      <c r="E167" s="55"/>
      <c r="F167" s="56"/>
      <c r="G167" s="57"/>
      <c r="H167" s="58"/>
      <c r="I167" s="59"/>
    </row>
    <row r="168" spans="2:9" ht="12.5">
      <c r="B168" s="55"/>
      <c r="C168" s="60"/>
      <c r="E168" s="55"/>
      <c r="F168" s="56"/>
      <c r="G168" s="57"/>
      <c r="H168" s="58"/>
      <c r="I168" s="59"/>
    </row>
    <row r="169" spans="2:9" ht="12.5">
      <c r="B169" s="55"/>
      <c r="C169" s="56"/>
      <c r="E169" s="55"/>
      <c r="F169" s="56"/>
      <c r="G169" s="57"/>
      <c r="H169" s="58"/>
      <c r="I169" s="59"/>
    </row>
    <row r="170" spans="2:9" ht="12.5">
      <c r="B170" s="55"/>
      <c r="C170" s="60"/>
      <c r="E170" s="55"/>
      <c r="F170" s="56"/>
      <c r="G170" s="57"/>
      <c r="H170" s="58"/>
      <c r="I170" s="59"/>
    </row>
    <row r="171" spans="2:9" ht="12.5">
      <c r="B171" s="55"/>
      <c r="C171" s="60"/>
      <c r="E171" s="55"/>
      <c r="F171" s="56"/>
      <c r="G171" s="57"/>
      <c r="H171" s="58"/>
      <c r="I171" s="59"/>
    </row>
    <row r="172" spans="2:9" ht="12.5">
      <c r="B172" s="55"/>
      <c r="C172" s="56"/>
      <c r="E172" s="55"/>
      <c r="F172" s="56"/>
      <c r="G172" s="57"/>
      <c r="H172" s="58"/>
      <c r="I172" s="59"/>
    </row>
    <row r="173" spans="2:9" ht="12.5">
      <c r="B173" s="55"/>
      <c r="C173" s="56"/>
      <c r="E173" s="55"/>
      <c r="F173" s="56"/>
      <c r="G173" s="57"/>
      <c r="H173" s="58"/>
      <c r="I173" s="56"/>
    </row>
    <row r="174" spans="2:9" ht="12.5">
      <c r="B174" s="55"/>
      <c r="C174" s="60"/>
      <c r="E174" s="55"/>
      <c r="F174" s="56"/>
      <c r="G174" s="57"/>
      <c r="H174" s="58"/>
      <c r="I174" s="59"/>
    </row>
    <row r="175" spans="2:9" ht="12.5">
      <c r="B175" s="55"/>
      <c r="C175" s="60"/>
      <c r="E175" s="55"/>
      <c r="F175" s="56"/>
      <c r="G175" s="57"/>
      <c r="H175" s="58"/>
      <c r="I175" s="59"/>
    </row>
    <row r="176" spans="2:9" ht="12.5">
      <c r="B176" s="55"/>
      <c r="C176" s="60"/>
      <c r="E176" s="55"/>
      <c r="F176" s="56"/>
      <c r="G176" s="57"/>
      <c r="H176" s="58"/>
      <c r="I176" s="59"/>
    </row>
    <row r="177" spans="2:9" ht="12.5">
      <c r="B177" s="55"/>
      <c r="C177" s="60"/>
      <c r="E177" s="55"/>
      <c r="F177" s="56"/>
      <c r="G177" s="57"/>
      <c r="H177" s="58"/>
      <c r="I177" s="59"/>
    </row>
    <row r="178" spans="2:9" ht="12.5">
      <c r="B178" s="55"/>
      <c r="C178" s="60"/>
      <c r="E178" s="55"/>
      <c r="F178" s="56"/>
      <c r="G178" s="57"/>
      <c r="H178" s="58"/>
      <c r="I178" s="59"/>
    </row>
    <row r="179" spans="2:9" ht="12.5">
      <c r="B179" s="55"/>
      <c r="C179" s="60"/>
      <c r="E179" s="55"/>
      <c r="F179" s="56"/>
      <c r="G179" s="57"/>
      <c r="H179" s="58"/>
      <c r="I179" s="59"/>
    </row>
    <row r="180" spans="2:9" ht="12.5">
      <c r="B180" s="55"/>
      <c r="C180" s="56"/>
      <c r="E180" s="55"/>
      <c r="F180" s="56"/>
      <c r="G180" s="57"/>
      <c r="H180" s="58"/>
      <c r="I180" s="59"/>
    </row>
    <row r="181" spans="2:9" ht="12.5">
      <c r="B181" s="55"/>
      <c r="C181" s="60"/>
      <c r="E181" s="55"/>
      <c r="F181" s="56"/>
      <c r="G181" s="57"/>
      <c r="H181" s="58"/>
      <c r="I181" s="59"/>
    </row>
    <row r="182" spans="2:9" ht="12.5">
      <c r="B182" s="55"/>
      <c r="C182" s="60"/>
      <c r="E182" s="55"/>
      <c r="F182" s="56"/>
      <c r="G182" s="57"/>
      <c r="H182" s="58"/>
      <c r="I182" s="59"/>
    </row>
    <row r="183" spans="2:9" ht="12.5">
      <c r="B183" s="55"/>
      <c r="C183" s="56"/>
      <c r="E183" s="55"/>
      <c r="F183" s="56"/>
      <c r="G183" s="57"/>
      <c r="H183" s="58"/>
      <c r="I183" s="59"/>
    </row>
    <row r="184" spans="2:9" ht="12.5">
      <c r="B184" s="55"/>
      <c r="C184" s="56"/>
      <c r="E184" s="55"/>
      <c r="F184" s="56"/>
      <c r="G184" s="57"/>
      <c r="H184" s="58"/>
      <c r="I184" s="59"/>
    </row>
    <row r="185" spans="2:9" ht="12.5">
      <c r="B185" s="55"/>
      <c r="C185" s="60"/>
      <c r="E185" s="55"/>
      <c r="F185" s="56"/>
      <c r="G185" s="57"/>
      <c r="H185" s="58"/>
      <c r="I185" s="59"/>
    </row>
    <row r="186" spans="2:9" ht="12.5">
      <c r="B186" s="55"/>
      <c r="C186" s="56"/>
      <c r="E186" s="55"/>
      <c r="F186" s="56"/>
      <c r="G186" s="57"/>
      <c r="H186" s="58"/>
      <c r="I186" s="59"/>
    </row>
    <row r="187" spans="2:9" ht="12.5">
      <c r="B187" s="55"/>
      <c r="C187" s="56"/>
      <c r="E187" s="55"/>
      <c r="F187" s="56"/>
      <c r="G187" s="57"/>
      <c r="H187" s="58"/>
      <c r="I187" s="59"/>
    </row>
    <row r="188" spans="2:9" ht="12.5">
      <c r="B188" s="55"/>
      <c r="C188" s="56"/>
      <c r="E188" s="55"/>
      <c r="F188" s="56"/>
      <c r="G188" s="57"/>
      <c r="H188" s="58"/>
      <c r="I188" s="59"/>
    </row>
    <row r="189" spans="2:9" ht="12.5">
      <c r="B189" s="55"/>
      <c r="C189" s="56"/>
      <c r="E189" s="55"/>
      <c r="F189" s="56"/>
      <c r="G189" s="57"/>
      <c r="H189" s="58"/>
      <c r="I189" s="56"/>
    </row>
    <row r="190" spans="2:9" ht="12.5">
      <c r="B190" s="55"/>
      <c r="C190" s="60"/>
      <c r="E190" s="55"/>
      <c r="F190" s="56"/>
      <c r="G190" s="57"/>
      <c r="H190" s="58"/>
      <c r="I190" s="59"/>
    </row>
    <row r="191" spans="2:9" ht="12.5">
      <c r="B191" s="55"/>
      <c r="C191" s="60"/>
      <c r="E191" s="55"/>
      <c r="F191" s="56"/>
      <c r="G191" s="57"/>
      <c r="H191" s="58"/>
      <c r="I191" s="59"/>
    </row>
    <row r="192" spans="2:9" ht="12.5">
      <c r="B192" s="55"/>
      <c r="C192" s="60"/>
      <c r="E192" s="55"/>
      <c r="F192" s="56"/>
      <c r="G192" s="57"/>
      <c r="H192" s="58"/>
      <c r="I192" s="59"/>
    </row>
    <row r="193" spans="2:9" ht="12.5">
      <c r="B193" s="55"/>
      <c r="C193" s="56"/>
      <c r="E193" s="55"/>
      <c r="F193" s="56"/>
      <c r="G193" s="57"/>
      <c r="H193" s="58"/>
      <c r="I193" s="56"/>
    </row>
    <row r="194" spans="2:9" ht="12.5">
      <c r="B194" s="55"/>
      <c r="C194" s="56"/>
      <c r="E194" s="55"/>
      <c r="F194" s="56"/>
      <c r="G194" s="57"/>
      <c r="H194" s="58"/>
      <c r="I194" s="59"/>
    </row>
    <row r="195" spans="2:9" ht="12.5">
      <c r="B195" s="55"/>
      <c r="C195" s="60"/>
      <c r="E195" s="55"/>
      <c r="F195" s="56"/>
      <c r="G195" s="57"/>
      <c r="H195" s="58"/>
      <c r="I195" s="59"/>
    </row>
    <row r="196" spans="2:9" ht="12.5">
      <c r="B196" s="55"/>
      <c r="C196" s="56"/>
      <c r="E196" s="55"/>
      <c r="F196" s="56"/>
      <c r="G196" s="57"/>
      <c r="H196" s="58"/>
      <c r="I196" s="59"/>
    </row>
    <row r="197" spans="2:9" ht="12.5">
      <c r="B197" s="55"/>
      <c r="C197" s="60"/>
      <c r="E197" s="55"/>
      <c r="F197" s="56"/>
      <c r="G197" s="57"/>
      <c r="H197" s="58"/>
      <c r="I197" s="59"/>
    </row>
    <row r="198" spans="2:9" ht="12.5">
      <c r="B198" s="55"/>
      <c r="C198" s="56"/>
      <c r="E198" s="55"/>
      <c r="F198" s="56"/>
      <c r="G198" s="57"/>
      <c r="H198" s="58"/>
      <c r="I198" s="59"/>
    </row>
    <row r="199" spans="2:9" ht="12.5">
      <c r="B199" s="55"/>
      <c r="C199" s="56"/>
      <c r="E199" s="55"/>
      <c r="F199" s="56"/>
      <c r="G199" s="57"/>
      <c r="H199" s="58"/>
      <c r="I199" s="59"/>
    </row>
    <row r="200" spans="2:9" ht="12.5">
      <c r="B200" s="55"/>
      <c r="C200" s="56"/>
      <c r="E200" s="55"/>
      <c r="F200" s="56"/>
      <c r="G200" s="57"/>
      <c r="H200" s="58"/>
      <c r="I200" s="59"/>
    </row>
    <row r="201" spans="2:9" ht="12.5">
      <c r="B201" s="55"/>
      <c r="C201" s="56"/>
      <c r="E201" s="55"/>
      <c r="F201" s="56"/>
      <c r="G201" s="57"/>
      <c r="H201" s="58"/>
      <c r="I201" s="59"/>
    </row>
    <row r="202" spans="2:9" ht="12.5">
      <c r="B202" s="55"/>
      <c r="C202" s="56"/>
      <c r="E202" s="55"/>
      <c r="F202" s="56"/>
      <c r="G202" s="57"/>
      <c r="H202" s="58"/>
      <c r="I202" s="59"/>
    </row>
    <row r="203" spans="2:9" ht="12.5">
      <c r="B203" s="55"/>
      <c r="C203" s="60"/>
      <c r="E203" s="55"/>
      <c r="F203" s="56"/>
      <c r="G203" s="57"/>
      <c r="H203" s="58"/>
      <c r="I203" s="59"/>
    </row>
    <row r="204" spans="2:9" ht="12.5">
      <c r="B204" s="55"/>
      <c r="C204" s="60"/>
      <c r="E204" s="55"/>
      <c r="F204" s="56"/>
      <c r="G204" s="57"/>
      <c r="H204" s="58"/>
      <c r="I204" s="59"/>
    </row>
    <row r="205" spans="2:9" ht="12.5">
      <c r="B205" s="55"/>
      <c r="C205" s="56"/>
      <c r="E205" s="55"/>
      <c r="F205" s="56"/>
      <c r="G205" s="57"/>
      <c r="H205" s="58"/>
      <c r="I205" s="59"/>
    </row>
    <row r="206" spans="2:9" ht="12.5">
      <c r="B206" s="55"/>
      <c r="C206" s="60"/>
      <c r="E206" s="55"/>
      <c r="F206" s="56"/>
      <c r="G206" s="57"/>
      <c r="H206" s="58"/>
      <c r="I206" s="59"/>
    </row>
    <row r="207" spans="2:9" ht="12.5">
      <c r="B207" s="55"/>
      <c r="C207" s="56"/>
      <c r="E207" s="55"/>
      <c r="F207" s="56"/>
      <c r="G207" s="57"/>
      <c r="H207" s="58"/>
      <c r="I207" s="59"/>
    </row>
    <row r="208" spans="2:9" ht="12.5">
      <c r="B208" s="55"/>
      <c r="C208" s="60"/>
      <c r="E208" s="55"/>
      <c r="F208" s="56"/>
      <c r="G208" s="57"/>
      <c r="H208" s="58"/>
      <c r="I208" s="59"/>
    </row>
    <row r="209" spans="2:9" ht="12.5">
      <c r="B209" s="55"/>
      <c r="C209" s="60"/>
      <c r="E209" s="55"/>
      <c r="F209" s="56"/>
      <c r="G209" s="57"/>
      <c r="H209" s="58"/>
      <c r="I209" s="59"/>
    </row>
    <row r="210" spans="2:9" ht="12.5">
      <c r="B210" s="55"/>
      <c r="C210" s="56"/>
      <c r="E210" s="55"/>
      <c r="F210" s="56"/>
      <c r="G210" s="57"/>
      <c r="H210" s="58"/>
      <c r="I210" s="59"/>
    </row>
    <row r="211" spans="2:9" ht="12.5">
      <c r="B211" s="55"/>
      <c r="C211" s="56"/>
      <c r="E211" s="55"/>
      <c r="F211" s="56"/>
      <c r="G211" s="57"/>
      <c r="H211" s="58"/>
      <c r="I211" s="59"/>
    </row>
    <row r="212" spans="2:9" ht="12.5">
      <c r="B212" s="55"/>
      <c r="C212" s="56"/>
      <c r="E212" s="55"/>
      <c r="F212" s="56"/>
      <c r="G212" s="57"/>
      <c r="H212" s="58"/>
      <c r="I212" s="59"/>
    </row>
    <row r="213" spans="2:9" ht="12.5">
      <c r="B213" s="55"/>
      <c r="C213" s="56"/>
      <c r="E213" s="55"/>
      <c r="F213" s="56"/>
      <c r="G213" s="57"/>
      <c r="H213" s="58"/>
      <c r="I213" s="59"/>
    </row>
    <row r="214" spans="2:9" ht="12.5">
      <c r="B214" s="55"/>
      <c r="C214" s="56"/>
      <c r="E214" s="55"/>
      <c r="F214" s="56"/>
      <c r="G214" s="57"/>
      <c r="H214" s="58"/>
      <c r="I214" s="59"/>
    </row>
    <row r="215" spans="2:9" ht="12.5">
      <c r="B215" s="55"/>
      <c r="C215" s="56"/>
      <c r="E215" s="55"/>
      <c r="F215" s="56"/>
      <c r="G215" s="57"/>
      <c r="H215" s="58"/>
      <c r="I215" s="56"/>
    </row>
    <row r="216" spans="2:9" ht="12.5">
      <c r="B216" s="55"/>
      <c r="C216" s="60"/>
      <c r="E216" s="55"/>
      <c r="F216" s="56"/>
      <c r="G216" s="57"/>
      <c r="H216" s="58"/>
      <c r="I216" s="59"/>
    </row>
    <row r="217" spans="2:9" ht="12.5">
      <c r="B217" s="55"/>
      <c r="C217" s="56"/>
      <c r="E217" s="55"/>
      <c r="F217" s="56"/>
      <c r="G217" s="57"/>
      <c r="H217" s="58"/>
      <c r="I217" s="59"/>
    </row>
    <row r="218" spans="2:9" ht="12.5">
      <c r="B218" s="55"/>
      <c r="C218" s="56"/>
      <c r="E218" s="55"/>
      <c r="F218" s="56"/>
      <c r="G218" s="57"/>
      <c r="H218" s="58"/>
      <c r="I218" s="59"/>
    </row>
    <row r="219" spans="2:9" ht="12.5">
      <c r="B219" s="55"/>
      <c r="C219" s="60"/>
      <c r="E219" s="55"/>
      <c r="F219" s="56"/>
      <c r="G219" s="57"/>
      <c r="H219" s="58"/>
      <c r="I219" s="59"/>
    </row>
    <row r="220" spans="2:9" ht="12.5">
      <c r="B220" s="55"/>
      <c r="C220" s="56"/>
      <c r="E220" s="55"/>
      <c r="F220" s="56"/>
      <c r="G220" s="57"/>
      <c r="H220" s="58"/>
      <c r="I220" s="56"/>
    </row>
    <row r="221" spans="2:9" ht="12.5">
      <c r="B221" s="55"/>
      <c r="C221" s="60"/>
      <c r="E221" s="55"/>
      <c r="F221" s="56"/>
      <c r="G221" s="57"/>
      <c r="H221" s="58"/>
      <c r="I221" s="59"/>
    </row>
    <row r="222" spans="2:9" ht="12.5">
      <c r="B222" s="55"/>
      <c r="C222" s="56"/>
      <c r="E222" s="55"/>
      <c r="F222" s="56"/>
      <c r="G222" s="57"/>
      <c r="H222" s="58"/>
      <c r="I222" s="59"/>
    </row>
    <row r="223" spans="2:9" ht="12.5">
      <c r="B223" s="55"/>
      <c r="C223" s="56"/>
      <c r="E223" s="55"/>
      <c r="F223" s="56"/>
      <c r="G223" s="57"/>
      <c r="H223" s="58"/>
      <c r="I223" s="56"/>
    </row>
    <row r="224" spans="2:9" ht="12.5">
      <c r="B224" s="55"/>
      <c r="C224" s="56"/>
      <c r="E224" s="55"/>
      <c r="F224" s="56"/>
      <c r="G224" s="57"/>
      <c r="H224" s="58"/>
      <c r="I224" s="59"/>
    </row>
    <row r="225" spans="2:9" ht="12.5">
      <c r="B225" s="55"/>
      <c r="C225" s="60"/>
      <c r="E225" s="55"/>
      <c r="F225" s="56"/>
      <c r="G225" s="57"/>
      <c r="H225" s="58"/>
      <c r="I225" s="59"/>
    </row>
    <row r="226" spans="2:9" ht="12.5">
      <c r="B226" s="55"/>
      <c r="C226" s="56"/>
      <c r="E226" s="55"/>
      <c r="F226" s="56"/>
      <c r="G226" s="57"/>
      <c r="H226" s="58"/>
      <c r="I226" s="59"/>
    </row>
    <row r="227" spans="2:9" ht="12.5">
      <c r="B227" s="55"/>
      <c r="C227" s="56"/>
      <c r="E227" s="55"/>
      <c r="F227" s="56"/>
      <c r="G227" s="57"/>
      <c r="H227" s="58"/>
      <c r="I227" s="59"/>
    </row>
    <row r="228" spans="2:9" ht="12.5">
      <c r="B228" s="55"/>
      <c r="C228" s="56"/>
      <c r="E228" s="55"/>
      <c r="F228" s="56"/>
      <c r="G228" s="57"/>
      <c r="H228" s="58"/>
      <c r="I228" s="59"/>
    </row>
    <row r="229" spans="2:9" ht="12.5">
      <c r="B229" s="55"/>
      <c r="C229" s="60"/>
      <c r="E229" s="55"/>
      <c r="F229" s="56"/>
      <c r="G229" s="57"/>
      <c r="H229" s="58"/>
      <c r="I229" s="59"/>
    </row>
    <row r="230" spans="2:9" ht="12.5">
      <c r="B230" s="55"/>
      <c r="C230" s="60"/>
      <c r="E230" s="55"/>
      <c r="F230" s="56"/>
      <c r="G230" s="57"/>
      <c r="H230" s="58"/>
      <c r="I230" s="59"/>
    </row>
    <row r="231" spans="2:9" ht="12.5">
      <c r="B231" s="55"/>
      <c r="C231" s="56"/>
      <c r="E231" s="55"/>
      <c r="F231" s="56"/>
      <c r="G231" s="57"/>
      <c r="H231" s="58"/>
      <c r="I231" s="59"/>
    </row>
    <row r="232" spans="2:9" ht="12.5">
      <c r="B232" s="55"/>
      <c r="C232" s="56"/>
      <c r="E232" s="55"/>
      <c r="F232" s="56"/>
      <c r="G232" s="57"/>
      <c r="H232" s="58"/>
      <c r="I232" s="59"/>
    </row>
    <row r="233" spans="2:9" ht="12.5">
      <c r="B233" s="55"/>
      <c r="C233" s="60"/>
      <c r="E233" s="55"/>
      <c r="F233" s="56"/>
      <c r="G233" s="57"/>
      <c r="H233" s="58"/>
      <c r="I233" s="59"/>
    </row>
    <row r="234" spans="2:9" ht="12.5">
      <c r="B234" s="55"/>
      <c r="C234" s="56"/>
      <c r="E234" s="55"/>
      <c r="F234" s="56"/>
      <c r="G234" s="57"/>
      <c r="H234" s="58"/>
      <c r="I234" s="59"/>
    </row>
    <row r="235" spans="2:9" ht="12.5">
      <c r="B235" s="55"/>
      <c r="C235" s="56"/>
      <c r="E235" s="55"/>
      <c r="F235" s="56"/>
      <c r="G235" s="57"/>
      <c r="H235" s="58"/>
      <c r="I235" s="59"/>
    </row>
    <row r="236" spans="2:9" ht="12.5">
      <c r="B236" s="55"/>
      <c r="C236" s="56"/>
      <c r="E236" s="55"/>
      <c r="F236" s="56"/>
      <c r="G236" s="57"/>
      <c r="H236" s="58"/>
      <c r="I236" s="59"/>
    </row>
    <row r="237" spans="2:9" ht="12.5">
      <c r="B237" s="55"/>
      <c r="C237" s="60"/>
      <c r="E237" s="55"/>
      <c r="F237" s="56"/>
      <c r="G237" s="57"/>
      <c r="H237" s="58"/>
      <c r="I237" s="59"/>
    </row>
    <row r="238" spans="2:9" ht="12.5">
      <c r="B238" s="55"/>
      <c r="C238" s="56"/>
      <c r="E238" s="55"/>
      <c r="F238" s="56"/>
      <c r="G238" s="57"/>
      <c r="H238" s="58"/>
      <c r="I238" s="59"/>
    </row>
    <row r="239" spans="2:9" ht="12.5">
      <c r="B239" s="55"/>
      <c r="C239" s="60"/>
      <c r="E239" s="55"/>
      <c r="F239" s="56"/>
      <c r="G239" s="57"/>
      <c r="H239" s="58"/>
      <c r="I239" s="59"/>
    </row>
    <row r="240" spans="2:9" ht="12.5">
      <c r="B240" s="55"/>
      <c r="C240" s="56"/>
      <c r="E240" s="55"/>
      <c r="F240" s="56"/>
      <c r="G240" s="57"/>
      <c r="H240" s="58"/>
      <c r="I240" s="56"/>
    </row>
    <row r="241" spans="2:9" ht="12.5">
      <c r="B241" s="55"/>
      <c r="C241" s="60"/>
      <c r="E241" s="55"/>
      <c r="F241" s="56"/>
      <c r="G241" s="57"/>
      <c r="H241" s="58"/>
      <c r="I241" s="59"/>
    </row>
    <row r="242" spans="2:9" ht="12.5">
      <c r="B242" s="55"/>
      <c r="C242" s="60"/>
      <c r="E242" s="55"/>
      <c r="F242" s="56"/>
      <c r="G242" s="57"/>
      <c r="H242" s="58"/>
      <c r="I242" s="59"/>
    </row>
    <row r="243" spans="2:9" ht="12.5">
      <c r="B243" s="55"/>
      <c r="C243" s="60"/>
      <c r="E243" s="55"/>
      <c r="F243" s="56"/>
      <c r="G243" s="57"/>
      <c r="H243" s="58"/>
      <c r="I243" s="59"/>
    </row>
    <row r="244" spans="2:9" ht="12.5">
      <c r="B244" s="55"/>
      <c r="C244" s="60"/>
      <c r="E244" s="55"/>
      <c r="F244" s="56"/>
      <c r="G244" s="57"/>
      <c r="H244" s="58"/>
      <c r="I244" s="59"/>
    </row>
    <row r="245" spans="2:9" ht="12.5">
      <c r="B245" s="55"/>
      <c r="C245" s="56"/>
      <c r="E245" s="55"/>
      <c r="F245" s="56"/>
      <c r="G245" s="57"/>
      <c r="H245" s="58"/>
      <c r="I245" s="59"/>
    </row>
    <row r="246" spans="2:9" ht="12.5">
      <c r="B246" s="55"/>
      <c r="C246" s="60"/>
      <c r="E246" s="55"/>
      <c r="F246" s="56"/>
      <c r="G246" s="57"/>
      <c r="H246" s="58"/>
      <c r="I246" s="59"/>
    </row>
    <row r="247" spans="2:9" ht="12.5">
      <c r="B247" s="55"/>
      <c r="C247" s="60"/>
      <c r="E247" s="55"/>
      <c r="F247" s="56"/>
      <c r="G247" s="57"/>
      <c r="H247" s="58"/>
      <c r="I247" s="59"/>
    </row>
    <row r="248" spans="2:9" ht="12.5">
      <c r="B248" s="55"/>
      <c r="C248" s="56"/>
      <c r="E248" s="55"/>
      <c r="F248" s="56"/>
      <c r="G248" s="57"/>
      <c r="H248" s="58"/>
      <c r="I248" s="59"/>
    </row>
    <row r="249" spans="2:9" ht="12.5">
      <c r="B249" s="61"/>
      <c r="C249" s="60"/>
      <c r="E249" s="55"/>
      <c r="F249" s="56"/>
      <c r="G249" s="57"/>
      <c r="H249" s="58"/>
      <c r="I249" s="59"/>
    </row>
    <row r="250" spans="2:9" ht="12.5">
      <c r="B250" s="55"/>
      <c r="C250" s="56"/>
      <c r="E250" s="55"/>
      <c r="F250" s="56"/>
      <c r="G250" s="57"/>
      <c r="H250" s="58"/>
      <c r="I250" s="59"/>
    </row>
    <row r="251" spans="2:9" ht="12.5">
      <c r="B251" s="55"/>
      <c r="C251" s="56"/>
      <c r="E251" s="55"/>
      <c r="F251" s="56"/>
      <c r="G251" s="57"/>
      <c r="H251" s="58"/>
      <c r="I251" s="59"/>
    </row>
    <row r="252" spans="2:9" ht="12.5">
      <c r="B252" s="55"/>
      <c r="C252" s="60"/>
      <c r="E252" s="55"/>
      <c r="F252" s="56"/>
      <c r="G252" s="57"/>
      <c r="H252" s="58"/>
      <c r="I252" s="59"/>
    </row>
    <row r="253" spans="2:9" ht="12.5">
      <c r="B253" s="55"/>
      <c r="C253" s="56"/>
      <c r="E253" s="55"/>
      <c r="F253" s="56"/>
      <c r="G253" s="57"/>
      <c r="H253" s="58"/>
      <c r="I253" s="59"/>
    </row>
    <row r="254" spans="2:9" ht="12.5">
      <c r="B254" s="55"/>
      <c r="C254" s="56"/>
      <c r="E254" s="55"/>
      <c r="F254" s="56"/>
      <c r="G254" s="57"/>
      <c r="H254" s="58"/>
      <c r="I254" s="56"/>
    </row>
    <row r="255" spans="2:9" ht="12.5">
      <c r="B255" s="55"/>
      <c r="C255" s="60"/>
      <c r="E255" s="55"/>
      <c r="F255" s="56"/>
      <c r="G255" s="57"/>
      <c r="H255" s="58"/>
      <c r="I255" s="59"/>
    </row>
    <row r="256" spans="2:9" ht="12.5">
      <c r="B256" s="55"/>
      <c r="C256" s="56"/>
      <c r="E256" s="55"/>
      <c r="F256" s="56"/>
      <c r="G256" s="57"/>
      <c r="H256" s="58"/>
      <c r="I256" s="59"/>
    </row>
    <row r="257" spans="2:9" ht="12.5">
      <c r="B257" s="55"/>
      <c r="C257" s="56"/>
      <c r="E257" s="55"/>
      <c r="F257" s="56"/>
      <c r="G257" s="57"/>
      <c r="H257" s="58"/>
      <c r="I257" s="59"/>
    </row>
    <row r="258" spans="2:9" ht="12.5">
      <c r="B258" s="55"/>
      <c r="C258" s="56"/>
      <c r="E258" s="55"/>
      <c r="F258" s="56"/>
      <c r="G258" s="57"/>
      <c r="H258" s="58"/>
      <c r="I258" s="56"/>
    </row>
    <row r="259" spans="2:9" ht="12.5">
      <c r="B259" s="55"/>
      <c r="C259" s="56"/>
      <c r="E259" s="55"/>
      <c r="F259" s="56"/>
      <c r="G259" s="57"/>
      <c r="H259" s="58"/>
      <c r="I259" s="59"/>
    </row>
    <row r="260" spans="2:9" ht="12.5">
      <c r="B260" s="55"/>
      <c r="C260" s="56"/>
      <c r="E260" s="55"/>
      <c r="F260" s="56"/>
      <c r="G260" s="57"/>
      <c r="H260" s="58"/>
      <c r="I260" s="56"/>
    </row>
    <row r="261" spans="2:9" ht="12.5">
      <c r="B261" s="55"/>
      <c r="C261" s="56"/>
      <c r="E261" s="55"/>
      <c r="F261" s="56"/>
      <c r="G261" s="57"/>
      <c r="H261" s="58"/>
      <c r="I261" s="59"/>
    </row>
    <row r="262" spans="2:9" ht="12.5">
      <c r="B262" s="55"/>
      <c r="C262" s="56"/>
      <c r="E262" s="55"/>
      <c r="F262" s="56"/>
      <c r="G262" s="57"/>
      <c r="H262" s="58"/>
      <c r="I262" s="59"/>
    </row>
    <row r="263" spans="2:9" ht="12.5">
      <c r="B263" s="55"/>
      <c r="C263" s="60"/>
      <c r="E263" s="55"/>
      <c r="F263" s="56"/>
      <c r="G263" s="57"/>
      <c r="H263" s="58"/>
      <c r="I263" s="59"/>
    </row>
    <row r="264" spans="2:9" ht="12.5">
      <c r="B264" s="55"/>
      <c r="C264" s="56"/>
      <c r="E264" s="55"/>
      <c r="F264" s="56"/>
      <c r="G264" s="57"/>
      <c r="H264" s="58"/>
      <c r="I264" s="59"/>
    </row>
    <row r="265" spans="2:9" ht="12.5">
      <c r="B265" s="55"/>
      <c r="C265" s="60"/>
      <c r="E265" s="55"/>
      <c r="F265" s="56"/>
      <c r="G265" s="57"/>
      <c r="H265" s="58"/>
      <c r="I265" s="59"/>
    </row>
    <row r="266" spans="2:9" ht="12.5">
      <c r="B266" s="55"/>
      <c r="C266" s="56"/>
      <c r="E266" s="55"/>
      <c r="F266" s="56"/>
      <c r="G266" s="57"/>
      <c r="H266" s="58"/>
      <c r="I266" s="59"/>
    </row>
    <row r="267" spans="2:9" ht="12.5">
      <c r="B267" s="55"/>
      <c r="C267" s="60"/>
      <c r="E267" s="55"/>
      <c r="F267" s="56"/>
      <c r="G267" s="57"/>
      <c r="H267" s="58"/>
      <c r="I267" s="59"/>
    </row>
    <row r="268" spans="2:9" ht="12.5">
      <c r="B268" s="55"/>
      <c r="C268" s="56"/>
      <c r="E268" s="55"/>
      <c r="F268" s="56"/>
      <c r="G268" s="57"/>
      <c r="H268" s="58"/>
      <c r="I268" s="59"/>
    </row>
    <row r="269" spans="2:9" ht="12.5">
      <c r="B269" s="55"/>
      <c r="C269" s="56"/>
      <c r="E269" s="55"/>
      <c r="F269" s="56"/>
      <c r="G269" s="57"/>
      <c r="H269" s="58"/>
      <c r="I269" s="59"/>
    </row>
    <row r="270" spans="2:9" ht="12.5">
      <c r="B270" s="55"/>
      <c r="C270" s="56"/>
      <c r="E270" s="55"/>
      <c r="F270" s="56"/>
      <c r="G270" s="57"/>
      <c r="H270" s="58"/>
      <c r="I270" s="59"/>
    </row>
    <row r="271" spans="2:9" ht="12.5">
      <c r="B271" s="55"/>
      <c r="C271" s="56"/>
      <c r="E271" s="55"/>
      <c r="F271" s="56"/>
      <c r="G271" s="57"/>
      <c r="H271" s="58"/>
      <c r="I271" s="59"/>
    </row>
    <row r="272" spans="2:9" ht="12.5">
      <c r="B272" s="55"/>
      <c r="C272" s="56"/>
      <c r="E272" s="55"/>
      <c r="F272" s="56"/>
      <c r="G272" s="57"/>
      <c r="H272" s="58"/>
      <c r="I272" s="59"/>
    </row>
    <row r="273" spans="2:9" ht="12.5">
      <c r="B273" s="55"/>
      <c r="C273" s="56"/>
      <c r="E273" s="55"/>
      <c r="F273" s="56"/>
      <c r="G273" s="57"/>
      <c r="H273" s="58"/>
      <c r="I273" s="59"/>
    </row>
    <row r="274" spans="2:9" ht="12.5">
      <c r="B274" s="55"/>
      <c r="C274" s="60"/>
      <c r="E274" s="55"/>
      <c r="F274" s="56"/>
      <c r="G274" s="57"/>
      <c r="H274" s="58"/>
      <c r="I274" s="59"/>
    </row>
    <row r="275" spans="2:9" ht="12.5">
      <c r="B275" s="55"/>
      <c r="C275" s="56"/>
      <c r="E275" s="55"/>
      <c r="F275" s="56"/>
      <c r="G275" s="57"/>
      <c r="H275" s="58"/>
      <c r="I275" s="59"/>
    </row>
    <row r="276" spans="2:9" ht="12.5">
      <c r="B276" s="55"/>
      <c r="C276" s="60"/>
      <c r="E276" s="55"/>
      <c r="F276" s="56"/>
      <c r="G276" s="57"/>
      <c r="H276" s="58"/>
      <c r="I276" s="59"/>
    </row>
    <row r="277" spans="2:9" ht="12.5">
      <c r="B277" s="55"/>
      <c r="C277" s="60"/>
      <c r="E277" s="55"/>
      <c r="F277" s="56"/>
      <c r="G277" s="57"/>
      <c r="H277" s="58"/>
      <c r="I277" s="59"/>
    </row>
    <row r="278" spans="2:9" ht="12.5">
      <c r="B278" s="55"/>
      <c r="C278" s="56"/>
      <c r="E278" s="55"/>
      <c r="F278" s="56"/>
      <c r="G278" s="57"/>
      <c r="H278" s="58"/>
      <c r="I278" s="59"/>
    </row>
    <row r="279" spans="2:9" ht="12.5">
      <c r="B279" s="55"/>
      <c r="C279" s="60"/>
      <c r="E279" s="55"/>
      <c r="F279" s="56"/>
      <c r="G279" s="57"/>
      <c r="H279" s="58"/>
      <c r="I279" s="59"/>
    </row>
    <row r="280" spans="2:9" ht="12.5">
      <c r="B280" s="55"/>
      <c r="C280" s="60"/>
      <c r="E280" s="55"/>
      <c r="F280" s="56"/>
      <c r="G280" s="57"/>
      <c r="H280" s="58"/>
      <c r="I280" s="59"/>
    </row>
    <row r="281" spans="2:9" ht="12.5">
      <c r="B281" s="55"/>
      <c r="C281" s="60"/>
      <c r="E281" s="55"/>
      <c r="F281" s="56"/>
      <c r="G281" s="57"/>
      <c r="H281" s="58"/>
      <c r="I281" s="59"/>
    </row>
    <row r="282" spans="2:9" ht="12.5">
      <c r="B282" s="55"/>
      <c r="C282" s="60"/>
      <c r="E282" s="55"/>
      <c r="F282" s="56"/>
      <c r="G282" s="57"/>
      <c r="H282" s="58"/>
      <c r="I282" s="59"/>
    </row>
    <row r="283" spans="2:9" ht="12.5">
      <c r="B283" s="55"/>
      <c r="C283" s="60"/>
      <c r="E283" s="55"/>
      <c r="F283" s="56"/>
      <c r="G283" s="57"/>
      <c r="H283" s="58"/>
      <c r="I283" s="59"/>
    </row>
    <row r="284" spans="2:9" ht="12.5">
      <c r="B284" s="55"/>
      <c r="C284" s="60"/>
      <c r="E284" s="55"/>
      <c r="F284" s="56"/>
      <c r="G284" s="57"/>
      <c r="H284" s="58"/>
      <c r="I284" s="59"/>
    </row>
    <row r="285" spans="2:9" ht="12.5">
      <c r="B285" s="55"/>
      <c r="C285" s="60"/>
      <c r="E285" s="55"/>
      <c r="F285" s="56"/>
      <c r="G285" s="57"/>
      <c r="H285" s="58"/>
      <c r="I285" s="59"/>
    </row>
    <row r="286" spans="2:9" ht="12.5">
      <c r="B286" s="55"/>
      <c r="C286" s="56"/>
      <c r="E286" s="55"/>
      <c r="F286" s="56"/>
      <c r="G286" s="57"/>
      <c r="H286" s="58"/>
      <c r="I286" s="59"/>
    </row>
    <row r="287" spans="2:9" ht="12.5">
      <c r="B287" s="55"/>
      <c r="C287" s="56"/>
      <c r="E287" s="55"/>
      <c r="F287" s="56"/>
      <c r="G287" s="57"/>
      <c r="H287" s="58"/>
      <c r="I287" s="59"/>
    </row>
    <row r="288" spans="2:9" ht="12.5">
      <c r="B288" s="55"/>
      <c r="C288" s="60"/>
      <c r="E288" s="55"/>
      <c r="F288" s="56"/>
      <c r="G288" s="57"/>
      <c r="H288" s="58"/>
      <c r="I288" s="59"/>
    </row>
    <row r="289" spans="2:9" ht="12.5">
      <c r="B289" s="55"/>
      <c r="C289" s="60"/>
      <c r="E289" s="55"/>
      <c r="F289" s="56"/>
      <c r="G289" s="57"/>
      <c r="H289" s="58"/>
      <c r="I289" s="59"/>
    </row>
    <row r="290" spans="2:9" ht="12.5">
      <c r="B290" s="55"/>
      <c r="C290" s="56"/>
      <c r="E290" s="55"/>
      <c r="F290" s="56"/>
      <c r="G290" s="57"/>
      <c r="H290" s="58"/>
      <c r="I290" s="59"/>
    </row>
    <row r="291" spans="2:9" ht="12.5">
      <c r="B291" s="55"/>
      <c r="C291" s="56"/>
      <c r="E291" s="55"/>
      <c r="F291" s="56"/>
      <c r="G291" s="57"/>
      <c r="H291" s="58"/>
      <c r="I291" s="59"/>
    </row>
    <row r="292" spans="2:9" ht="12.5">
      <c r="B292" s="55"/>
      <c r="C292" s="56"/>
      <c r="E292" s="55"/>
      <c r="F292" s="56"/>
      <c r="G292" s="57"/>
      <c r="H292" s="58"/>
      <c r="I292" s="59"/>
    </row>
    <row r="293" spans="2:9" ht="12.5">
      <c r="B293" s="55"/>
      <c r="C293" s="60"/>
      <c r="E293" s="55"/>
      <c r="F293" s="56"/>
      <c r="G293" s="57"/>
      <c r="H293" s="58"/>
      <c r="I293" s="59"/>
    </row>
    <row r="294" spans="2:9" ht="12.5">
      <c r="B294" s="55"/>
      <c r="C294" s="56"/>
      <c r="E294" s="55"/>
      <c r="F294" s="56"/>
      <c r="G294" s="57"/>
      <c r="H294" s="58"/>
      <c r="I294" s="59"/>
    </row>
    <row r="295" spans="2:9" ht="12.5">
      <c r="B295" s="55"/>
      <c r="C295" s="60"/>
      <c r="E295" s="55"/>
      <c r="F295" s="56"/>
      <c r="G295" s="57"/>
      <c r="H295" s="58"/>
      <c r="I295" s="59"/>
    </row>
    <row r="296" spans="2:9" ht="12.5">
      <c r="B296" s="55"/>
      <c r="C296" s="60"/>
      <c r="E296" s="55"/>
      <c r="F296" s="56"/>
      <c r="G296" s="57"/>
      <c r="H296" s="58"/>
      <c r="I296" s="59"/>
    </row>
    <row r="297" spans="2:9" ht="12.5">
      <c r="B297" s="55"/>
      <c r="C297" s="56"/>
      <c r="E297" s="55"/>
      <c r="F297" s="56"/>
      <c r="G297" s="57"/>
      <c r="H297" s="58"/>
      <c r="I297" s="59"/>
    </row>
    <row r="298" spans="2:9" ht="12.5">
      <c r="B298" s="55"/>
      <c r="C298" s="60"/>
      <c r="E298" s="55"/>
      <c r="F298" s="56"/>
      <c r="G298" s="57"/>
      <c r="H298" s="58"/>
      <c r="I298" s="59"/>
    </row>
    <row r="299" spans="2:9" ht="12.5">
      <c r="B299" s="55"/>
      <c r="C299" s="60"/>
      <c r="E299" s="55"/>
      <c r="F299" s="56"/>
      <c r="G299" s="57"/>
      <c r="H299" s="58"/>
      <c r="I299" s="59"/>
    </row>
    <row r="300" spans="2:9" ht="12.5">
      <c r="B300" s="55"/>
      <c r="C300" s="56"/>
      <c r="E300" s="55"/>
      <c r="F300" s="56"/>
      <c r="G300" s="57"/>
      <c r="H300" s="58"/>
      <c r="I300" s="59"/>
    </row>
    <row r="301" spans="2:9" ht="12.5">
      <c r="B301" s="55"/>
      <c r="C301" s="60"/>
      <c r="E301" s="55"/>
      <c r="F301" s="56"/>
      <c r="G301" s="57"/>
      <c r="H301" s="58"/>
      <c r="I301" s="59"/>
    </row>
    <row r="302" spans="2:9" ht="12.5">
      <c r="B302" s="55"/>
      <c r="C302" s="60"/>
      <c r="E302" s="55"/>
      <c r="F302" s="56"/>
      <c r="G302" s="57"/>
      <c r="H302" s="58"/>
      <c r="I302" s="59"/>
    </row>
    <row r="303" spans="2:9" ht="12.5">
      <c r="B303" s="55"/>
      <c r="C303" s="56"/>
      <c r="E303" s="55"/>
      <c r="F303" s="56"/>
      <c r="G303" s="57"/>
      <c r="H303" s="58"/>
      <c r="I303" s="59"/>
    </row>
    <row r="304" spans="2:9" ht="12.5">
      <c r="B304" s="55"/>
      <c r="C304" s="60"/>
      <c r="E304" s="55"/>
      <c r="F304" s="56"/>
      <c r="G304" s="57"/>
      <c r="H304" s="58"/>
      <c r="I304" s="59"/>
    </row>
    <row r="305" spans="2:9" ht="12.5">
      <c r="B305" s="55"/>
      <c r="C305" s="56"/>
      <c r="E305" s="55"/>
      <c r="F305" s="56"/>
      <c r="G305" s="57"/>
      <c r="H305" s="58"/>
      <c r="I305" s="59"/>
    </row>
    <row r="306" spans="2:9" ht="12.5">
      <c r="B306" s="55"/>
      <c r="C306" s="60"/>
      <c r="E306" s="55"/>
      <c r="F306" s="56"/>
      <c r="G306" s="57"/>
      <c r="H306" s="58"/>
      <c r="I306" s="59"/>
    </row>
    <row r="307" spans="2:9" ht="12.5">
      <c r="B307" s="55"/>
      <c r="C307" s="56"/>
      <c r="E307" s="55"/>
      <c r="F307" s="56"/>
      <c r="G307" s="57"/>
      <c r="H307" s="58"/>
      <c r="I307" s="59"/>
    </row>
    <row r="308" spans="2:9" ht="12.5">
      <c r="B308" s="55"/>
      <c r="C308" s="56"/>
      <c r="E308" s="55"/>
      <c r="F308" s="56"/>
      <c r="G308" s="57"/>
      <c r="H308" s="58"/>
      <c r="I308" s="59"/>
    </row>
    <row r="309" spans="2:9" ht="12.5">
      <c r="B309" s="55"/>
      <c r="C309" s="56"/>
      <c r="E309" s="55"/>
      <c r="F309" s="56"/>
      <c r="G309" s="57"/>
      <c r="H309" s="58"/>
      <c r="I309" s="59"/>
    </row>
    <row r="310" spans="2:9" ht="12.5">
      <c r="B310" s="55"/>
      <c r="C310" s="56"/>
      <c r="E310" s="55"/>
      <c r="F310" s="56"/>
      <c r="G310" s="57"/>
      <c r="H310" s="58"/>
      <c r="I310" s="59"/>
    </row>
    <row r="311" spans="2:9" ht="12.5">
      <c r="B311" s="55"/>
      <c r="C311" s="56"/>
      <c r="E311" s="55"/>
      <c r="F311" s="56"/>
      <c r="G311" s="57"/>
      <c r="H311" s="58"/>
      <c r="I311" s="56"/>
    </row>
    <row r="312" spans="2:9" ht="12.5">
      <c r="B312" s="55"/>
      <c r="C312" s="56"/>
      <c r="E312" s="55"/>
      <c r="F312" s="56"/>
      <c r="G312" s="57"/>
      <c r="H312" s="58"/>
      <c r="I312" s="59"/>
    </row>
    <row r="313" spans="2:9" ht="12.5">
      <c r="B313" s="55"/>
      <c r="C313" s="60"/>
      <c r="E313" s="55"/>
      <c r="F313" s="56"/>
      <c r="G313" s="57"/>
      <c r="H313" s="58"/>
      <c r="I313" s="59"/>
    </row>
    <row r="314" spans="2:9" ht="12.5">
      <c r="B314" s="55"/>
      <c r="C314" s="60"/>
      <c r="E314" s="55"/>
      <c r="F314" s="56"/>
      <c r="G314" s="57"/>
      <c r="H314" s="58"/>
      <c r="I314" s="59"/>
    </row>
    <row r="315" spans="2:9" ht="12.5">
      <c r="B315" s="55"/>
      <c r="C315" s="60"/>
      <c r="E315" s="55"/>
      <c r="F315" s="56"/>
      <c r="G315" s="57"/>
      <c r="H315" s="58"/>
      <c r="I315" s="59"/>
    </row>
    <row r="316" spans="2:9" ht="12.5">
      <c r="B316" s="55"/>
      <c r="C316" s="60"/>
      <c r="E316" s="55"/>
      <c r="F316" s="56"/>
      <c r="G316" s="57"/>
      <c r="H316" s="58"/>
      <c r="I316" s="59"/>
    </row>
    <row r="317" spans="2:9" ht="12.5">
      <c r="B317" s="55"/>
      <c r="C317" s="56"/>
      <c r="E317" s="55"/>
      <c r="F317" s="56"/>
      <c r="G317" s="57"/>
      <c r="H317" s="58"/>
      <c r="I317" s="59"/>
    </row>
    <row r="318" spans="2:9" ht="12.5">
      <c r="B318" s="55"/>
      <c r="C318" s="56"/>
      <c r="E318" s="55"/>
      <c r="F318" s="56"/>
      <c r="G318" s="57"/>
      <c r="H318" s="58"/>
      <c r="I318" s="59"/>
    </row>
    <row r="319" spans="2:9" ht="12.5">
      <c r="B319" s="55"/>
      <c r="C319" s="56"/>
      <c r="E319" s="55"/>
      <c r="F319" s="56"/>
      <c r="G319" s="57"/>
      <c r="H319" s="58"/>
      <c r="I319" s="59"/>
    </row>
    <row r="320" spans="2:9" ht="12.5">
      <c r="B320" s="55"/>
      <c r="C320" s="60"/>
      <c r="E320" s="55"/>
      <c r="F320" s="56"/>
      <c r="G320" s="57"/>
      <c r="H320" s="58"/>
      <c r="I320" s="59"/>
    </row>
    <row r="321" spans="1:9" ht="12.5">
      <c r="B321" s="55"/>
      <c r="C321" s="60"/>
      <c r="E321" s="55"/>
      <c r="F321" s="56"/>
      <c r="G321" s="57"/>
      <c r="H321" s="58"/>
      <c r="I321" s="59"/>
    </row>
    <row r="322" spans="1:9" ht="12.5">
      <c r="B322" s="55"/>
      <c r="C322" s="60"/>
      <c r="E322" s="55"/>
      <c r="F322" s="56"/>
      <c r="G322" s="57"/>
      <c r="H322" s="58"/>
      <c r="I322" s="59"/>
    </row>
    <row r="323" spans="1:9" ht="12.5">
      <c r="B323" s="55"/>
      <c r="C323" s="60"/>
      <c r="E323" s="55"/>
      <c r="F323" s="56"/>
      <c r="G323" s="57"/>
      <c r="H323" s="58"/>
      <c r="I323" s="59"/>
    </row>
    <row r="324" spans="1:9" ht="12.5">
      <c r="B324" s="55"/>
      <c r="C324" s="60"/>
      <c r="E324" s="55"/>
      <c r="F324" s="56"/>
      <c r="G324" s="57"/>
      <c r="H324" s="58"/>
      <c r="I324" s="59"/>
    </row>
    <row r="325" spans="1:9" ht="12.5">
      <c r="B325" s="55"/>
      <c r="C325" s="56"/>
      <c r="E325" s="55"/>
      <c r="F325" s="56"/>
      <c r="G325" s="57"/>
      <c r="H325" s="58"/>
      <c r="I325" s="59"/>
    </row>
    <row r="326" spans="1:9" ht="12.5">
      <c r="B326" s="55"/>
      <c r="C326" s="56"/>
      <c r="E326" s="55"/>
      <c r="F326" s="56"/>
      <c r="G326" s="57"/>
      <c r="H326" s="58"/>
      <c r="I326" s="59"/>
    </row>
    <row r="327" spans="1:9" ht="12.5">
      <c r="A327" s="63"/>
      <c r="B327" s="58"/>
      <c r="C327" s="60"/>
      <c r="E327" s="55"/>
      <c r="F327" s="56"/>
      <c r="G327" s="57"/>
      <c r="H327" s="58"/>
      <c r="I327" s="59"/>
    </row>
    <row r="328" spans="1:9" ht="12.5">
      <c r="A328" s="63"/>
      <c r="B328" s="58"/>
      <c r="C328" s="60"/>
      <c r="E328" s="55"/>
      <c r="F328" s="56"/>
      <c r="G328" s="57"/>
      <c r="H328" s="58"/>
      <c r="I328" s="59"/>
    </row>
    <row r="329" spans="1:9" ht="12.5">
      <c r="A329" s="63"/>
      <c r="B329" s="58"/>
      <c r="C329" s="56"/>
      <c r="E329" s="55"/>
      <c r="F329" s="56"/>
      <c r="G329" s="57"/>
      <c r="H329" s="58"/>
      <c r="I329" s="59"/>
    </row>
    <row r="330" spans="1:9" ht="12.5">
      <c r="A330" s="63"/>
      <c r="B330" s="58"/>
      <c r="C330" s="56"/>
      <c r="E330" s="55"/>
      <c r="F330" s="56"/>
      <c r="G330" s="57"/>
      <c r="H330" s="58"/>
      <c r="I330" s="56"/>
    </row>
    <row r="331" spans="1:9" ht="12.5">
      <c r="A331" s="63"/>
      <c r="B331" s="58"/>
      <c r="C331" s="56"/>
      <c r="E331" s="55"/>
      <c r="F331" s="56"/>
      <c r="G331" s="57"/>
      <c r="H331" s="58"/>
      <c r="I331" s="59"/>
    </row>
    <row r="332" spans="1:9" ht="12.5">
      <c r="A332" s="63"/>
      <c r="B332" s="58"/>
      <c r="C332" s="60"/>
      <c r="E332" s="55"/>
      <c r="F332" s="56"/>
      <c r="G332" s="57"/>
      <c r="H332" s="58"/>
      <c r="I332" s="59"/>
    </row>
  </sheetData>
  <autoFilter ref="A1:I332" xr:uid="{00000000-0009-0000-0000-000005000000}"/>
  <customSheetViews>
    <customSheetView guid="{ED13E4A1-D5DC-4C79-B278-4AD560406BC2}" filter="1" showAutoFilter="1">
      <pageMargins left="0.7" right="0.7" top="0.75" bottom="0.75" header="0.3" footer="0.3"/>
      <autoFilter ref="A1:I332" xr:uid="{00000000-0000-0000-0000-000000000000}">
        <filterColumn colId="5">
          <filters blank="1"/>
        </filterColumn>
      </autoFilter>
    </customSheetView>
    <customSheetView guid="{F60FC9D7-2635-4C8F-8D9E-0B948DC7326A}" filter="1" showAutoFilter="1">
      <pageMargins left="0.7" right="0.7" top="0.75" bottom="0.75" header="0.3" footer="0.3"/>
      <autoFilter ref="A1:I332" xr:uid="{00000000-0000-0000-0000-000000000000}"/>
    </customSheetView>
    <customSheetView guid="{5EB6946C-62CF-41DF-B1CE-586522E612F5}" filter="1" showAutoFilter="1">
      <pageMargins left="0.7" right="0.7" top="0.75" bottom="0.75" header="0.3" footer="0.3"/>
      <autoFilter ref="A1:I332" xr:uid="{00000000-0000-0000-0000-000000000000}">
        <filterColumn colId="6">
          <customFilters>
            <customFilter operator="lessThanOrEqual" val="3.99"/>
          </customFilters>
        </filterColumn>
      </autoFilter>
    </customSheetView>
    <customSheetView guid="{1A28EF4D-0D77-45E5-A4C1-6B9B3C667025}" filter="1" showAutoFilter="1">
      <pageMargins left="0.7" right="0.7" top="0.75" bottom="0.75" header="0.3" footer="0.3"/>
      <autoFilter ref="A1:I332" xr:uid="{00000000-0000-0000-0000-000000000000}">
        <filterColumn colId="5">
          <filters blank="1"/>
        </filterColumn>
      </autoFilter>
    </customSheetView>
    <customSheetView guid="{4E115EA7-612B-474B-B3C8-D32D5AC72062}" filter="1" showAutoFilter="1">
      <pageMargins left="0.7" right="0.7" top="0.75" bottom="0.75" header="0.3" footer="0.3"/>
      <autoFilter ref="A1:I332" xr:uid="{00000000-0000-0000-0000-000000000000}">
        <filterColumn colId="5">
          <filters blank="1"/>
        </filterColumn>
      </autoFilter>
    </customSheetView>
    <customSheetView guid="{DCBA4608-B983-4A77-80E7-5FA86C60B107}" filter="1" showAutoFilter="1">
      <pageMargins left="0.7" right="0.7" top="0.75" bottom="0.75" header="0.3" footer="0.3"/>
      <autoFilter ref="A1:I332" xr:uid="{00000000-0000-0000-0000-000000000000}"/>
    </customSheetView>
    <customSheetView guid="{EEFFA13A-E362-4119-9D25-A7BF8D90FE73}" filter="1" showAutoFilter="1">
      <pageMargins left="0.7" right="0.7" top="0.75" bottom="0.75" header="0.3" footer="0.3"/>
      <autoFilter ref="A1:I332" xr:uid="{00000000-0000-0000-0000-000000000000}">
        <filterColumn colId="2">
          <filters blank="1"/>
        </filterColumn>
      </autoFilter>
    </customSheetView>
    <customSheetView guid="{84C3DA30-7F6D-4CF4-AA73-0EBE7CD1D836}" filter="1" showAutoFilter="1">
      <pageMargins left="0.7" right="0.7" top="0.75" bottom="0.75" header="0.3" footer="0.3"/>
      <autoFilter ref="A1:I332" xr:uid="{00000000-0000-0000-0000-000000000000}">
        <filterColumn colId="1">
          <filters blank="1"/>
        </filterColumn>
        <filterColumn colId="2">
          <filters blank="1"/>
        </filterColumn>
        <filterColumn colId="4">
          <filters blank="1"/>
        </filterColumn>
      </autoFilter>
    </customSheetView>
    <customSheetView guid="{B76413AC-7E69-48CB-9E94-D5C837402145}" filter="1" showAutoFilter="1">
      <pageMargins left="0.7" right="0.7" top="0.75" bottom="0.75" header="0.3" footer="0.3"/>
      <autoFilter ref="A1:I332" xr:uid="{00000000-0000-0000-0000-000000000000}"/>
    </customSheetView>
    <customSheetView guid="{28D52392-BCD7-4248-A054-C8E0379CA5DD}" filter="1" showAutoFilter="1">
      <pageMargins left="0.7" right="0.7" top="0.75" bottom="0.75" header="0.3" footer="0.3"/>
      <autoFilter ref="A1:I332" xr:uid="{00000000-0000-0000-0000-000000000000}">
        <filterColumn colId="4">
          <filters blank="1"/>
        </filterColumn>
      </autoFilter>
    </customSheetView>
  </customSheetViews>
  <conditionalFormatting sqref="B2:C332">
    <cfRule type="cellIs" dxfId="0" priority="1"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French</vt:lpstr>
      <vt:lpstr>German</vt:lpstr>
      <vt:lpstr>Portuguese</vt:lpstr>
      <vt:lpstr>Japanese</vt:lpstr>
      <vt:lpstr>Spanish</vt:lpstr>
      <vt:lpstr>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Kimberly M</dc:creator>
  <cp:lastModifiedBy>Blair, Tara A</cp:lastModifiedBy>
  <dcterms:created xsi:type="dcterms:W3CDTF">2021-02-01T16:19:13Z</dcterms:created>
  <dcterms:modified xsi:type="dcterms:W3CDTF">2021-02-09T16:23:56Z</dcterms:modified>
</cp:coreProperties>
</file>